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05" windowHeight="4080" activeTab="0"/>
  </bookViews>
  <sheets>
    <sheet name="SIMULADOR PROPENSÃO DE CONSUMO" sheetId="1" r:id="rId1"/>
    <sheet name="QUADRILÁTERO CONCEITO" sheetId="2" r:id="rId2"/>
    <sheet name="Cliente de Fraco Potencial" sheetId="3" r:id="rId3"/>
    <sheet name="Cliente de Médio Potencial" sheetId="4" r:id="rId4"/>
    <sheet name="Cliente com Alto Potencial" sheetId="5" r:id="rId5"/>
    <sheet name="Lógica de Cálculo" sheetId="6" r:id="rId6"/>
  </sheets>
  <definedNames>
    <definedName name="_xlnm.Print_Area" localSheetId="0">'Lógica de Cálculo'!$B$4:$U$22</definedName>
  </definedNames>
  <calcPr fullCalcOnLoad="1"/>
</workbook>
</file>

<file path=xl/sharedStrings.xml><?xml version="1.0" encoding="utf-8"?>
<sst xmlns="http://schemas.openxmlformats.org/spreadsheetml/2006/main" count="208" uniqueCount="71">
  <si>
    <t>SOLTEIRO</t>
  </si>
  <si>
    <t>OUTROS S/ FILHOS</t>
  </si>
  <si>
    <t>2º GRAU INCOMPLETO</t>
  </si>
  <si>
    <t>2º GRAU COMPLETO</t>
  </si>
  <si>
    <t>3º GRAU INCOMPLETO</t>
  </si>
  <si>
    <t>3º GRAU COMPLETO</t>
  </si>
  <si>
    <t xml:space="preserve"> </t>
  </si>
  <si>
    <t>CASADOS S/ FILHOS</t>
  </si>
  <si>
    <t>CASADO 1 FILHO</t>
  </si>
  <si>
    <t>CASADO 2 FILHOS</t>
  </si>
  <si>
    <t>CASADO + 2 FILHOS</t>
  </si>
  <si>
    <t>1º GRAU INCOMPLETO</t>
  </si>
  <si>
    <t>1º GRAU COMPLETO</t>
  </si>
  <si>
    <r>
      <t>1.500,00</t>
    </r>
    <r>
      <rPr>
        <b/>
        <sz val="10"/>
        <color indexed="9"/>
        <rFont val="Arial"/>
        <family val="2"/>
      </rPr>
      <t xml:space="preserve">   </t>
    </r>
  </si>
  <si>
    <r>
      <t>2.000,00</t>
    </r>
    <r>
      <rPr>
        <b/>
        <sz val="10"/>
        <color indexed="9"/>
        <rFont val="Arial"/>
        <family val="2"/>
      </rPr>
      <t xml:space="preserve">    </t>
    </r>
  </si>
  <si>
    <r>
      <t>3.000,00</t>
    </r>
    <r>
      <rPr>
        <b/>
        <sz val="10"/>
        <color indexed="9"/>
        <rFont val="Arial"/>
        <family val="2"/>
      </rPr>
      <t xml:space="preserve">    </t>
    </r>
  </si>
  <si>
    <t>4.000,00</t>
  </si>
  <si>
    <r>
      <t>6.000,00</t>
    </r>
    <r>
      <rPr>
        <b/>
        <sz val="10"/>
        <color indexed="9"/>
        <rFont val="Arial"/>
        <family val="2"/>
      </rPr>
      <t xml:space="preserve">   </t>
    </r>
  </si>
  <si>
    <r>
      <t>9.000,00</t>
    </r>
    <r>
      <rPr>
        <b/>
        <sz val="10"/>
        <color indexed="9"/>
        <rFont val="Arial"/>
        <family val="2"/>
      </rPr>
      <t xml:space="preserve">    </t>
    </r>
  </si>
  <si>
    <r>
      <t>+ 9.000,00</t>
    </r>
    <r>
      <rPr>
        <b/>
        <sz val="10"/>
        <color indexed="9"/>
        <rFont val="Arial"/>
        <family val="2"/>
      </rPr>
      <t xml:space="preserve">   </t>
    </r>
  </si>
  <si>
    <r>
      <t xml:space="preserve">RENDA  (R$)  
</t>
    </r>
    <r>
      <rPr>
        <sz val="14"/>
        <rFont val="Arial"/>
        <family val="2"/>
      </rPr>
      <t xml:space="preserve">(até...)
</t>
    </r>
    <r>
      <rPr>
        <sz val="11"/>
        <rFont val="Arial"/>
        <family val="2"/>
      </rPr>
      <t>*Soma dos titulares</t>
    </r>
  </si>
  <si>
    <r>
      <t xml:space="preserve">ESCOLARIDADE
</t>
    </r>
    <r>
      <rPr>
        <sz val="11"/>
        <rFont val="Arial"/>
        <family val="2"/>
      </rPr>
      <t xml:space="preserve"> (do titular da C/C)</t>
    </r>
  </si>
  <si>
    <r>
      <t>ESTADO CIVIL</t>
    </r>
    <r>
      <rPr>
        <sz val="11"/>
        <rFont val="Arial"/>
        <family val="2"/>
      </rPr>
      <t xml:space="preserve"> (do titular da c/c)
Filhos até 24 anos</t>
    </r>
  </si>
  <si>
    <t>500,00</t>
  </si>
  <si>
    <t>1.000,00</t>
  </si>
  <si>
    <r>
      <t xml:space="preserve">IDADE </t>
    </r>
    <r>
      <rPr>
        <sz val="11"/>
        <rFont val="Arial"/>
        <family val="2"/>
      </rPr>
      <t>(Até...)</t>
    </r>
    <r>
      <rPr>
        <b/>
        <sz val="14"/>
        <rFont val="Arial"/>
        <family val="2"/>
      </rPr>
      <t xml:space="preserve">
</t>
    </r>
    <r>
      <rPr>
        <sz val="11"/>
        <rFont val="Arial"/>
        <family val="2"/>
      </rPr>
      <t>(do titular da c/c)</t>
    </r>
  </si>
  <si>
    <r>
      <t xml:space="preserve">ESTADO CIVIL
</t>
    </r>
    <r>
      <rPr>
        <sz val="11"/>
        <rFont val="Arial"/>
        <family val="2"/>
      </rPr>
      <t xml:space="preserve"> (do titular da c/c)
Filhos até 24 anos</t>
    </r>
  </si>
  <si>
    <t>QPC - Quadrilátero de Propensão de Consumo</t>
  </si>
  <si>
    <t>1) Polígono potencializa definir o grau de atenção que deve ser dada a um novo cliente em seu primeiro ano de relacionamento, bem como sinalizar o potencial de clientes inativos balizando o grau de esforços pra sua reconquista.
2) Após este período, continua sinalizando o potencial de consumo, somente que deve-se analisar também a realidade das demandas de produtos e serviços.
3) Os quatro eixos podem ser calibrados de acordo com o perfil individual destas variáveis em cada singular</t>
  </si>
  <si>
    <t>OUTROS C/ 2 OU + FILHOS</t>
  </si>
  <si>
    <t>OUTROS C/ 1 FILHO</t>
  </si>
  <si>
    <r>
      <t>PERFIL DO CLIENTE</t>
    </r>
    <r>
      <rPr>
        <b/>
        <sz val="14"/>
        <rFont val="Arial"/>
        <family val="2"/>
      </rPr>
      <t xml:space="preserve"> - Casado sem filhos, 2º grau incompleto, 55 anos, renda de R$ 2 mil
</t>
    </r>
    <r>
      <rPr>
        <b/>
        <sz val="4"/>
        <rFont val="Arial"/>
        <family val="2"/>
      </rPr>
      <t xml:space="preserve">
</t>
    </r>
    <r>
      <rPr>
        <b/>
        <sz val="14"/>
        <color indexed="10"/>
        <rFont val="Arial"/>
        <family val="2"/>
      </rPr>
      <t>PROPENSÃO DE CONSUMO</t>
    </r>
    <r>
      <rPr>
        <b/>
        <sz val="14"/>
        <rFont val="Arial"/>
        <family val="2"/>
      </rPr>
      <t xml:space="preserve"> = </t>
    </r>
    <r>
      <rPr>
        <b/>
        <sz val="14"/>
        <color indexed="48"/>
        <rFont val="Arial"/>
        <family val="2"/>
      </rPr>
      <t>MÉDIO</t>
    </r>
    <r>
      <rPr>
        <b/>
        <sz val="14"/>
        <rFont val="Arial"/>
        <family val="2"/>
      </rPr>
      <t xml:space="preserve"> = Cliente com </t>
    </r>
    <r>
      <rPr>
        <b/>
        <sz val="14"/>
        <color indexed="10"/>
        <rFont val="Arial"/>
        <family val="2"/>
      </rPr>
      <t>130 (32%)</t>
    </r>
    <r>
      <rPr>
        <b/>
        <sz val="14"/>
        <rFont val="Arial"/>
        <family val="2"/>
      </rPr>
      <t xml:space="preserve"> unidades de propensão de 400 possíveis</t>
    </r>
  </si>
  <si>
    <r>
      <t>PERFIL DO CLIENTE</t>
    </r>
    <r>
      <rPr>
        <b/>
        <sz val="14"/>
        <rFont val="Arial"/>
        <family val="2"/>
      </rPr>
      <t xml:space="preserve"> -  Casado, 3 filhos, 49, Pós graduado, renda de R$ 7.000,00
</t>
    </r>
    <r>
      <rPr>
        <b/>
        <sz val="4"/>
        <rFont val="Arial"/>
        <family val="2"/>
      </rPr>
      <t xml:space="preserve">
</t>
    </r>
    <r>
      <rPr>
        <b/>
        <sz val="14"/>
        <color indexed="10"/>
        <rFont val="Arial"/>
        <family val="2"/>
      </rPr>
      <t>PROPENSÃO DE CONSUMO</t>
    </r>
    <r>
      <rPr>
        <b/>
        <sz val="14"/>
        <rFont val="Arial"/>
        <family val="2"/>
      </rPr>
      <t xml:space="preserve"> = </t>
    </r>
    <r>
      <rPr>
        <b/>
        <sz val="14"/>
        <color indexed="48"/>
        <rFont val="Arial"/>
        <family val="2"/>
      </rPr>
      <t>ALTO</t>
    </r>
    <r>
      <rPr>
        <b/>
        <sz val="14"/>
        <rFont val="Arial"/>
        <family val="2"/>
      </rPr>
      <t xml:space="preserve"> = Cliente com  </t>
    </r>
    <r>
      <rPr>
        <b/>
        <sz val="14"/>
        <color indexed="10"/>
        <rFont val="Arial"/>
        <family val="2"/>
      </rPr>
      <t>342 (86%)</t>
    </r>
    <r>
      <rPr>
        <b/>
        <sz val="14"/>
        <rFont val="Arial"/>
        <family val="2"/>
      </rPr>
      <t xml:space="preserve"> unidades de propensão de 400 possíveis</t>
    </r>
  </si>
  <si>
    <t>Nível</t>
  </si>
  <si>
    <t>idade</t>
  </si>
  <si>
    <t>Renda</t>
  </si>
  <si>
    <t>nivel</t>
  </si>
  <si>
    <t>Escolaridade</t>
  </si>
  <si>
    <t>nível</t>
  </si>
  <si>
    <t>Idade</t>
  </si>
  <si>
    <t>marital</t>
  </si>
  <si>
    <r>
      <t>PERFIL DO CLIENTE</t>
    </r>
    <r>
      <rPr>
        <b/>
        <sz val="14"/>
        <rFont val="Arial"/>
        <family val="2"/>
      </rPr>
      <t xml:space="preserve"> -  Solteiro, 2º grau completo, 25 anos, renda de R$ 1.500,00
</t>
    </r>
    <r>
      <rPr>
        <b/>
        <sz val="4"/>
        <rFont val="Arial"/>
        <family val="2"/>
      </rPr>
      <t xml:space="preserve">
</t>
    </r>
    <r>
      <rPr>
        <b/>
        <sz val="14"/>
        <color indexed="10"/>
        <rFont val="Arial"/>
        <family val="2"/>
      </rPr>
      <t>PROPENSÃO DE CONSUMO</t>
    </r>
    <r>
      <rPr>
        <b/>
        <sz val="14"/>
        <rFont val="Arial"/>
        <family val="2"/>
      </rPr>
      <t xml:space="preserve"> = </t>
    </r>
    <r>
      <rPr>
        <b/>
        <sz val="14"/>
        <color indexed="48"/>
        <rFont val="Arial"/>
        <family val="2"/>
      </rPr>
      <t>FRACO</t>
    </r>
    <r>
      <rPr>
        <b/>
        <sz val="14"/>
        <rFont val="Arial"/>
        <family val="2"/>
      </rPr>
      <t xml:space="preserve"> = Cliente com </t>
    </r>
    <r>
      <rPr>
        <b/>
        <sz val="14"/>
        <color indexed="10"/>
        <rFont val="Arial"/>
        <family val="2"/>
      </rPr>
      <t>48 (12%)</t>
    </r>
    <r>
      <rPr>
        <b/>
        <sz val="14"/>
        <rFont val="Arial"/>
        <family val="2"/>
      </rPr>
      <t xml:space="preserve"> unidades de propensão de 400 possíveis</t>
    </r>
  </si>
  <si>
    <t>Base de Cálculos</t>
  </si>
  <si>
    <t>Est.Civil</t>
  </si>
  <si>
    <t>Parcial</t>
  </si>
  <si>
    <t>Total</t>
  </si>
  <si>
    <t xml:space="preserve">Item </t>
  </si>
  <si>
    <t>critério</t>
  </si>
  <si>
    <t>PONTOS</t>
  </si>
  <si>
    <r>
      <t>Idade</t>
    </r>
    <r>
      <rPr>
        <sz val="12"/>
        <color indexed="9"/>
        <rFont val="Arial"/>
        <family val="2"/>
      </rPr>
      <t xml:space="preserve"> (18 a 110)</t>
    </r>
  </si>
  <si>
    <t>Idade 
x Renda</t>
  </si>
  <si>
    <t>Idade 
x Estado Civil</t>
  </si>
  <si>
    <t>Renda 
x Escolaridade</t>
  </si>
  <si>
    <t>Escolaridade 
x Estado Civil</t>
  </si>
  <si>
    <t>Renda (&gt; 500)</t>
  </si>
  <si>
    <t>Critérios - pontos</t>
  </si>
  <si>
    <t>Fraco Potencial de Consumo</t>
  </si>
  <si>
    <t xml:space="preserve">Médio Potencial de Consumo </t>
  </si>
  <si>
    <t xml:space="preserve">Alto Potencial de Consumo </t>
  </si>
  <si>
    <t>Informe estes 4 parâmetros:</t>
  </si>
  <si>
    <t>&lt; 150 (- 38% do total)</t>
  </si>
  <si>
    <t>Escolaridade *</t>
  </si>
  <si>
    <t>Estado Cívil *</t>
  </si>
  <si>
    <t>* Clique no campo e escolha uma das opções</t>
  </si>
  <si>
    <t>151 a 250
 (de 39 e 63% do total)</t>
  </si>
  <si>
    <t>QPC - QUADRILÁRETO DE PROPENSÃO DE CONSUMO</t>
  </si>
  <si>
    <t>Célula</t>
  </si>
  <si>
    <t>CASADO S/ FILHOS</t>
  </si>
  <si>
    <t>2 OU + PÓS GRADUAÇÃO</t>
  </si>
  <si>
    <t>1 PÓS GRADUAÇÃO</t>
  </si>
  <si>
    <t>&gt; 251 (+ 64%  do total)</t>
  </si>
</sst>
</file>

<file path=xl/styles.xml><?xml version="1.0" encoding="utf-8"?>
<styleSheet xmlns="http://schemas.openxmlformats.org/spreadsheetml/2006/main">
  <numFmts count="2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0.0"/>
  </numFmts>
  <fonts count="61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4"/>
      <name val="Arial"/>
      <family val="2"/>
    </font>
    <font>
      <b/>
      <sz val="14"/>
      <color indexed="48"/>
      <name val="Arial"/>
      <family val="2"/>
    </font>
    <font>
      <b/>
      <sz val="16"/>
      <color indexed="9"/>
      <name val="Arial"/>
      <family val="2"/>
    </font>
    <font>
      <b/>
      <sz val="18"/>
      <color indexed="9"/>
      <name val="Arial"/>
      <family val="2"/>
    </font>
    <font>
      <sz val="12"/>
      <color indexed="9"/>
      <name val="Arial"/>
      <family val="2"/>
    </font>
    <font>
      <sz val="18"/>
      <color indexed="10"/>
      <name val="Arial"/>
      <family val="2"/>
    </font>
    <font>
      <b/>
      <sz val="24"/>
      <color indexed="10"/>
      <name val="Arial"/>
      <family val="2"/>
    </font>
    <font>
      <b/>
      <sz val="10"/>
      <color indexed="2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0"/>
    </font>
    <font>
      <b/>
      <sz val="12"/>
      <color indexed="9"/>
      <name val="Arial"/>
      <family val="0"/>
    </font>
    <font>
      <b/>
      <sz val="20"/>
      <color indexed="10"/>
      <name val="Arial"/>
      <family val="2"/>
    </font>
    <font>
      <b/>
      <sz val="22"/>
      <name val="Arial"/>
      <family val="2"/>
    </font>
    <font>
      <b/>
      <sz val="2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hair">
        <color indexed="22"/>
      </right>
      <top style="medium"/>
      <bottom style="hair">
        <color indexed="22"/>
      </bottom>
    </border>
    <border>
      <left style="hair">
        <color indexed="22"/>
      </left>
      <right style="hair">
        <color indexed="22"/>
      </right>
      <top style="medium"/>
      <bottom style="hair">
        <color indexed="22"/>
      </bottom>
    </border>
    <border>
      <left style="hair">
        <color indexed="22"/>
      </left>
      <right style="thick"/>
      <top style="medium"/>
      <bottom style="hair">
        <color indexed="22"/>
      </bottom>
    </border>
    <border>
      <left style="thick"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ck"/>
      <top style="hair">
        <color indexed="22"/>
      </top>
      <bottom style="hair">
        <color indexed="22"/>
      </bottom>
    </border>
    <border>
      <left style="hair">
        <color indexed="22"/>
      </left>
      <right style="medium"/>
      <top style="hair">
        <color indexed="22"/>
      </top>
      <bottom style="hair">
        <color indexed="22"/>
      </bottom>
    </border>
    <border>
      <left style="medium"/>
      <right style="hair">
        <color indexed="22"/>
      </right>
      <top style="hair">
        <color indexed="22"/>
      </top>
      <bottom style="thick"/>
    </border>
    <border>
      <left style="hair">
        <color indexed="22"/>
      </left>
      <right style="hair">
        <color indexed="22"/>
      </right>
      <top style="hair">
        <color indexed="22"/>
      </top>
      <bottom style="thick"/>
    </border>
    <border>
      <left style="hair">
        <color indexed="22"/>
      </left>
      <right style="thick"/>
      <top style="hair">
        <color indexed="22"/>
      </top>
      <bottom style="thick"/>
    </border>
    <border>
      <left style="thick"/>
      <right style="hair">
        <color indexed="22"/>
      </right>
      <top style="hair">
        <color indexed="22"/>
      </top>
      <bottom style="thick"/>
    </border>
    <border>
      <left>
        <color indexed="63"/>
      </left>
      <right style="thick"/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 style="thick"/>
      <bottom style="hair">
        <color indexed="22"/>
      </bottom>
    </border>
    <border>
      <left style="hair">
        <color indexed="22"/>
      </left>
      <right style="medium"/>
      <top style="thick"/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>
        <color indexed="63"/>
      </left>
      <right style="thick"/>
      <top style="hair">
        <color indexed="22"/>
      </top>
      <bottom style="hair">
        <color indexed="22"/>
      </bottom>
    </border>
    <border>
      <left style="thick"/>
      <right style="hair">
        <color indexed="22"/>
      </right>
      <top style="hair">
        <color indexed="22"/>
      </top>
      <bottom style="medium"/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medium"/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thick"/>
    </border>
    <border>
      <left style="hair">
        <color indexed="22"/>
      </left>
      <right style="thick"/>
      <top>
        <color indexed="63"/>
      </top>
      <bottom style="hair">
        <color indexed="22"/>
      </bottom>
    </border>
    <border>
      <left style="thick"/>
      <right style="hair">
        <color indexed="22"/>
      </right>
      <top>
        <color indexed="63"/>
      </top>
      <bottom style="hair">
        <color indexed="22"/>
      </bottom>
    </border>
    <border>
      <left style="medium"/>
      <right style="medium"/>
      <top style="medium"/>
      <bottom style="medium"/>
    </border>
    <border>
      <left style="medium"/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medium"/>
      <top style="hair">
        <color indexed="22"/>
      </top>
      <bottom>
        <color indexed="63"/>
      </bottom>
    </border>
    <border>
      <left style="medium"/>
      <right style="hair">
        <color indexed="22"/>
      </right>
      <top style="hair">
        <color indexed="22"/>
      </top>
      <bottom style="medium"/>
    </border>
    <border>
      <left style="hair">
        <color indexed="22"/>
      </left>
      <right style="hair">
        <color indexed="22"/>
      </right>
      <top style="hair">
        <color indexed="22"/>
      </top>
      <bottom style="medium"/>
    </border>
    <border>
      <left style="hair">
        <color indexed="22"/>
      </left>
      <right style="medium"/>
      <top style="hair">
        <color indexed="22"/>
      </top>
      <bottom style="medium"/>
    </border>
    <border>
      <left style="medium"/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 style="medium"/>
      <top>
        <color indexed="63"/>
      </top>
      <bottom style="hair">
        <color indexed="22"/>
      </bottom>
    </border>
    <border>
      <left style="hair">
        <color indexed="22"/>
      </left>
      <right style="thick"/>
      <top style="hair">
        <color indexed="22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hair">
        <color indexed="22"/>
      </left>
      <right style="thick"/>
      <top style="hair">
        <color indexed="22"/>
      </top>
      <bottom>
        <color indexed="63"/>
      </bottom>
    </border>
    <border>
      <left style="thick"/>
      <right style="hair">
        <color indexed="22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thick"/>
      <bottom style="hair">
        <color indexed="22"/>
      </bottom>
    </border>
    <border>
      <left style="thick"/>
      <right style="hair">
        <color indexed="22"/>
      </right>
      <top style="medium"/>
      <bottom style="hair">
        <color indexed="22"/>
      </bottom>
    </border>
    <border>
      <left>
        <color indexed="63"/>
      </left>
      <right style="medium"/>
      <top style="medium"/>
      <bottom style="hair">
        <color indexed="22"/>
      </bottom>
    </border>
    <border>
      <left style="hair">
        <color indexed="22"/>
      </left>
      <right style="hair">
        <color indexed="22"/>
      </right>
      <top style="medium"/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thick"/>
      <top style="hair">
        <color indexed="22"/>
      </top>
      <bottom style="medium"/>
    </border>
    <border>
      <left style="medium"/>
      <right style="hair">
        <color indexed="22"/>
      </right>
      <top>
        <color indexed="63"/>
      </top>
      <bottom style="medium"/>
    </border>
    <border>
      <left style="hair">
        <color indexed="22"/>
      </left>
      <right style="hair">
        <color indexed="22"/>
      </right>
      <top>
        <color indexed="63"/>
      </top>
      <bottom style="medium"/>
    </border>
    <border>
      <left style="hair">
        <color indexed="22"/>
      </left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22"/>
      </left>
      <right style="hair">
        <color indexed="22"/>
      </right>
      <top style="thick"/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thick"/>
    </border>
    <border>
      <left style="medium"/>
      <right style="hair">
        <color indexed="22"/>
      </right>
      <top style="thick"/>
      <bottom>
        <color indexed="63"/>
      </bottom>
    </border>
    <border>
      <left style="medium"/>
      <right style="hair">
        <color indexed="22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thick"/>
    </border>
    <border>
      <left style="hair">
        <color indexed="22"/>
      </left>
      <right style="medium"/>
      <top style="hair">
        <color indexed="22"/>
      </top>
      <bottom style="thick"/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 style="thick"/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 style="thick"/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medium"/>
    </border>
    <border>
      <left style="hair">
        <color indexed="22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hair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22"/>
      </right>
      <top style="hair">
        <color indexed="22"/>
      </top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16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vertical="center" textRotation="90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179" fontId="2" fillId="0" borderId="0" xfId="62" applyNumberFormat="1" applyFont="1" applyBorder="1" applyAlignment="1" quotePrefix="1">
      <alignment vertical="center" wrapText="1"/>
    </xf>
    <xf numFmtId="0" fontId="0" fillId="0" borderId="0" xfId="0" applyFont="1" applyAlignment="1">
      <alignment/>
    </xf>
    <xf numFmtId="179" fontId="0" fillId="0" borderId="0" xfId="62" applyNumberFormat="1" applyFont="1" applyBorder="1" applyAlignment="1" quotePrefix="1">
      <alignment vertical="center" wrapText="1"/>
    </xf>
    <xf numFmtId="179" fontId="2" fillId="0" borderId="0" xfId="62" applyNumberFormat="1" applyFont="1" applyBorder="1" applyAlignment="1" quotePrefix="1">
      <alignment horizontal="center" vertical="center" wrapText="1"/>
    </xf>
    <xf numFmtId="179" fontId="14" fillId="33" borderId="11" xfId="62" applyNumberFormat="1" applyFont="1" applyFill="1" applyBorder="1" applyAlignment="1" quotePrefix="1">
      <alignment horizontal="center" vertical="center" wrapText="1"/>
    </xf>
    <xf numFmtId="179" fontId="2" fillId="34" borderId="11" xfId="62" applyNumberFormat="1" applyFont="1" applyFill="1" applyBorder="1" applyAlignment="1" quotePrefix="1">
      <alignment horizontal="center" vertical="center" wrapText="1"/>
    </xf>
    <xf numFmtId="179" fontId="5" fillId="35" borderId="11" xfId="62" applyNumberFormat="1" applyFont="1" applyFill="1" applyBorder="1" applyAlignment="1" quotePrefix="1">
      <alignment horizontal="left" vertical="center" wrapText="1"/>
    </xf>
    <xf numFmtId="179" fontId="14" fillId="33" borderId="11" xfId="62" applyNumberFormat="1" applyFont="1" applyFill="1" applyBorder="1" applyAlignment="1">
      <alignment horizontal="center" vertical="center" wrapText="1"/>
    </xf>
    <xf numFmtId="179" fontId="14" fillId="33" borderId="11" xfId="62" applyNumberFormat="1" applyFont="1" applyFill="1" applyBorder="1" applyAlignment="1">
      <alignment horizontal="center" vertical="center"/>
    </xf>
    <xf numFmtId="179" fontId="5" fillId="34" borderId="11" xfId="62" applyNumberFormat="1" applyFont="1" applyFill="1" applyBorder="1" applyAlignment="1" quotePrefix="1">
      <alignment horizontal="center" vertical="center" wrapText="1"/>
    </xf>
    <xf numFmtId="0" fontId="5" fillId="36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179" fontId="5" fillId="36" borderId="11" xfId="62" applyNumberFormat="1" applyFont="1" applyFill="1" applyBorder="1" applyAlignment="1" quotePrefix="1">
      <alignment horizontal="center" vertical="center" wrapText="1"/>
    </xf>
    <xf numFmtId="179" fontId="5" fillId="36" borderId="15" xfId="62" applyNumberFormat="1" applyFont="1" applyFill="1" applyBorder="1" applyAlignment="1">
      <alignment horizontal="center" vertical="center" wrapText="1"/>
    </xf>
    <xf numFmtId="179" fontId="5" fillId="36" borderId="16" xfId="62" applyNumberFormat="1" applyFont="1" applyFill="1" applyBorder="1" applyAlignment="1" quotePrefix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/>
    </xf>
    <xf numFmtId="179" fontId="6" fillId="35" borderId="11" xfId="62" applyNumberFormat="1" applyFont="1" applyFill="1" applyBorder="1" applyAlignment="1" quotePrefix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1" fontId="2" fillId="35" borderId="11" xfId="62" applyNumberFormat="1" applyFont="1" applyFill="1" applyBorder="1" applyAlignment="1" quotePrefix="1">
      <alignment horizontal="center" vertical="center" wrapText="1"/>
    </xf>
    <xf numFmtId="179" fontId="6" fillId="0" borderId="11" xfId="62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14" fillId="37" borderId="17" xfId="0" applyFont="1" applyFill="1" applyBorder="1" applyAlignment="1">
      <alignment horizontal="center" vertical="center"/>
    </xf>
    <xf numFmtId="179" fontId="14" fillId="37" borderId="14" xfId="62" applyNumberFormat="1" applyFont="1" applyFill="1" applyBorder="1" applyAlignment="1">
      <alignment horizontal="center" vertical="center" wrapText="1"/>
    </xf>
    <xf numFmtId="179" fontId="14" fillId="37" borderId="15" xfId="62" applyNumberFormat="1" applyFont="1" applyFill="1" applyBorder="1" applyAlignment="1">
      <alignment horizontal="center" vertical="center" wrapText="1"/>
    </xf>
    <xf numFmtId="179" fontId="6" fillId="35" borderId="11" xfId="62" applyNumberFormat="1" applyFont="1" applyFill="1" applyBorder="1" applyAlignment="1">
      <alignment horizontal="left" vertical="center" wrapText="1"/>
    </xf>
    <xf numFmtId="179" fontId="5" fillId="35" borderId="11" xfId="62" applyNumberFormat="1" applyFont="1" applyFill="1" applyBorder="1" applyAlignment="1">
      <alignment horizontal="left" vertical="center" wrapText="1"/>
    </xf>
    <xf numFmtId="0" fontId="0" fillId="38" borderId="18" xfId="0" applyFill="1" applyBorder="1" applyAlignment="1">
      <alignment/>
    </xf>
    <xf numFmtId="0" fontId="0" fillId="38" borderId="19" xfId="0" applyFill="1" applyBorder="1" applyAlignment="1">
      <alignment/>
    </xf>
    <xf numFmtId="0" fontId="2" fillId="38" borderId="19" xfId="0" applyFont="1" applyFill="1" applyBorder="1" applyAlignment="1" quotePrefix="1">
      <alignment horizontal="center"/>
    </xf>
    <xf numFmtId="0" fontId="2" fillId="38" borderId="20" xfId="0" applyFont="1" applyFill="1" applyBorder="1" applyAlignment="1">
      <alignment horizontal="center" vertical="center"/>
    </xf>
    <xf numFmtId="0" fontId="2" fillId="38" borderId="21" xfId="0" applyFont="1" applyFill="1" applyBorder="1" applyAlignment="1">
      <alignment horizontal="center" vertical="center"/>
    </xf>
    <xf numFmtId="0" fontId="0" fillId="38" borderId="22" xfId="0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24" xfId="0" applyFill="1" applyBorder="1" applyAlignment="1">
      <alignment/>
    </xf>
    <xf numFmtId="0" fontId="2" fillId="38" borderId="25" xfId="0" applyFont="1" applyFill="1" applyBorder="1" applyAlignment="1">
      <alignment horizontal="center" vertical="center"/>
    </xf>
    <xf numFmtId="0" fontId="0" fillId="38" borderId="26" xfId="0" applyFill="1" applyBorder="1" applyAlignment="1">
      <alignment/>
    </xf>
    <xf numFmtId="0" fontId="2" fillId="38" borderId="24" xfId="0" applyFont="1" applyFill="1" applyBorder="1" applyAlignment="1">
      <alignment/>
    </xf>
    <xf numFmtId="179" fontId="0" fillId="38" borderId="24" xfId="62" applyNumberFormat="1" applyFont="1" applyFill="1" applyBorder="1" applyAlignment="1">
      <alignment horizontal="center" vertical="center"/>
    </xf>
    <xf numFmtId="0" fontId="0" fillId="38" borderId="27" xfId="0" applyFill="1" applyBorder="1" applyAlignment="1">
      <alignment/>
    </xf>
    <xf numFmtId="0" fontId="0" fillId="38" borderId="28" xfId="0" applyFill="1" applyBorder="1" applyAlignment="1">
      <alignment/>
    </xf>
    <xf numFmtId="0" fontId="0" fillId="38" borderId="29" xfId="0" applyFill="1" applyBorder="1" applyAlignment="1">
      <alignment/>
    </xf>
    <xf numFmtId="0" fontId="2" fillId="38" borderId="30" xfId="0" applyFont="1" applyFill="1" applyBorder="1" applyAlignment="1">
      <alignment horizontal="center" vertical="center"/>
    </xf>
    <xf numFmtId="0" fontId="0" fillId="38" borderId="31" xfId="0" applyFill="1" applyBorder="1" applyAlignment="1">
      <alignment/>
    </xf>
    <xf numFmtId="0" fontId="0" fillId="38" borderId="32" xfId="0" applyFill="1" applyBorder="1" applyAlignment="1">
      <alignment/>
    </xf>
    <xf numFmtId="0" fontId="0" fillId="38" borderId="33" xfId="0" applyFill="1" applyBorder="1" applyAlignment="1">
      <alignment/>
    </xf>
    <xf numFmtId="0" fontId="0" fillId="38" borderId="0" xfId="0" applyFill="1" applyBorder="1" applyAlignment="1">
      <alignment/>
    </xf>
    <xf numFmtId="0" fontId="2" fillId="38" borderId="21" xfId="0" applyFont="1" applyFill="1" applyBorder="1" applyAlignment="1">
      <alignment vertical="center"/>
    </xf>
    <xf numFmtId="0" fontId="0" fillId="38" borderId="34" xfId="0" applyFill="1" applyBorder="1" applyAlignment="1">
      <alignment/>
    </xf>
    <xf numFmtId="0" fontId="0" fillId="38" borderId="25" xfId="0" applyFill="1" applyBorder="1" applyAlignment="1">
      <alignment/>
    </xf>
    <xf numFmtId="0" fontId="0" fillId="38" borderId="35" xfId="0" applyFill="1" applyBorder="1" applyAlignment="1">
      <alignment/>
    </xf>
    <xf numFmtId="0" fontId="2" fillId="38" borderId="36" xfId="0" applyFont="1" applyFill="1" applyBorder="1" applyAlignment="1">
      <alignment vertical="center"/>
    </xf>
    <xf numFmtId="0" fontId="0" fillId="38" borderId="37" xfId="0" applyFill="1" applyBorder="1" applyAlignment="1">
      <alignment/>
    </xf>
    <xf numFmtId="0" fontId="0" fillId="38" borderId="38" xfId="0" applyFill="1" applyBorder="1" applyAlignment="1">
      <alignment/>
    </xf>
    <xf numFmtId="0" fontId="0" fillId="38" borderId="39" xfId="0" applyFill="1" applyBorder="1" applyAlignment="1">
      <alignment/>
    </xf>
    <xf numFmtId="0" fontId="0" fillId="38" borderId="40" xfId="0" applyFill="1" applyBorder="1" applyAlignment="1">
      <alignment/>
    </xf>
    <xf numFmtId="0" fontId="0" fillId="38" borderId="41" xfId="0" applyFill="1" applyBorder="1" applyAlignment="1">
      <alignment vertical="center"/>
    </xf>
    <xf numFmtId="0" fontId="7" fillId="0" borderId="42" xfId="0" applyFont="1" applyBorder="1" applyAlignment="1" applyProtection="1">
      <alignment horizontal="center" vertical="center"/>
      <protection locked="0"/>
    </xf>
    <xf numFmtId="4" fontId="7" fillId="0" borderId="42" xfId="0" applyNumberFormat="1" applyFont="1" applyBorder="1" applyAlignment="1" applyProtection="1">
      <alignment horizontal="center" vertical="center"/>
      <protection locked="0"/>
    </xf>
    <xf numFmtId="179" fontId="7" fillId="0" borderId="42" xfId="62" applyNumberFormat="1" applyFont="1" applyBorder="1" applyAlignment="1" applyProtection="1" quotePrefix="1">
      <alignment horizontal="center" vertical="center" wrapText="1"/>
      <protection locked="0"/>
    </xf>
    <xf numFmtId="0" fontId="22" fillId="0" borderId="18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5" fillId="0" borderId="2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/>
    </xf>
    <xf numFmtId="0" fontId="22" fillId="0" borderId="23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5" fillId="0" borderId="2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/>
    </xf>
    <xf numFmtId="0" fontId="23" fillId="0" borderId="26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/>
    </xf>
    <xf numFmtId="0" fontId="22" fillId="0" borderId="44" xfId="0" applyFont="1" applyFill="1" applyBorder="1" applyAlignment="1">
      <alignment/>
    </xf>
    <xf numFmtId="0" fontId="22" fillId="0" borderId="45" xfId="0" applyFont="1" applyFill="1" applyBorder="1" applyAlignment="1">
      <alignment/>
    </xf>
    <xf numFmtId="0" fontId="22" fillId="0" borderId="46" xfId="0" applyFont="1" applyFill="1" applyBorder="1" applyAlignment="1">
      <alignment/>
    </xf>
    <xf numFmtId="0" fontId="22" fillId="0" borderId="47" xfId="0" applyFont="1" applyFill="1" applyBorder="1" applyAlignment="1">
      <alignment/>
    </xf>
    <xf numFmtId="0" fontId="1" fillId="0" borderId="47" xfId="0" applyFont="1" applyFill="1" applyBorder="1" applyAlignment="1">
      <alignment horizontal="center" vertical="center" textRotation="90"/>
    </xf>
    <xf numFmtId="0" fontId="1" fillId="0" borderId="48" xfId="0" applyFont="1" applyFill="1" applyBorder="1" applyAlignment="1">
      <alignment horizontal="center" vertical="center" textRotation="90"/>
    </xf>
    <xf numFmtId="0" fontId="9" fillId="0" borderId="18" xfId="0" applyFont="1" applyFill="1" applyBorder="1" applyAlignment="1">
      <alignment horizontal="center" textRotation="180" wrapText="1"/>
    </xf>
    <xf numFmtId="0" fontId="9" fillId="0" borderId="19" xfId="0" applyFont="1" applyFill="1" applyBorder="1" applyAlignment="1">
      <alignment horizontal="center" vertical="center" textRotation="180" wrapText="1"/>
    </xf>
    <xf numFmtId="0" fontId="22" fillId="0" borderId="19" xfId="0" applyFont="1" applyFill="1" applyBorder="1" applyAlignment="1">
      <alignment horizontal="center" vertical="center" textRotation="180" wrapText="1"/>
    </xf>
    <xf numFmtId="0" fontId="22" fillId="0" borderId="26" xfId="0" applyFont="1" applyFill="1" applyBorder="1" applyAlignment="1">
      <alignment horizontal="left"/>
    </xf>
    <xf numFmtId="0" fontId="22" fillId="0" borderId="49" xfId="0" applyFont="1" applyFill="1" applyBorder="1" applyAlignment="1">
      <alignment/>
    </xf>
    <xf numFmtId="0" fontId="22" fillId="0" borderId="34" xfId="0" applyFont="1" applyFill="1" applyBorder="1" applyAlignment="1">
      <alignment/>
    </xf>
    <xf numFmtId="0" fontId="22" fillId="0" borderId="50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19" xfId="0" applyFont="1" applyFill="1" applyBorder="1" applyAlignment="1" quotePrefix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2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2" fillId="0" borderId="24" xfId="0" applyFont="1" applyFill="1" applyBorder="1" applyAlignment="1">
      <alignment/>
    </xf>
    <xf numFmtId="179" fontId="0" fillId="0" borderId="24" xfId="62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2" fillId="0" borderId="30" xfId="0" applyFont="1" applyFill="1" applyBorder="1" applyAlignment="1">
      <alignment horizontal="center" vertic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21" xfId="0" applyFont="1" applyFill="1" applyBorder="1" applyAlignment="1">
      <alignment vertical="center"/>
    </xf>
    <xf numFmtId="0" fontId="0" fillId="0" borderId="3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1" xfId="0" applyFill="1" applyBorder="1" applyAlignment="1">
      <alignment vertical="center"/>
    </xf>
    <xf numFmtId="0" fontId="1" fillId="0" borderId="46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2" fillId="0" borderId="36" xfId="0" applyFont="1" applyFill="1" applyBorder="1" applyAlignment="1">
      <alignment vertical="center"/>
    </xf>
    <xf numFmtId="0" fontId="1" fillId="0" borderId="48" xfId="0" applyFont="1" applyFill="1" applyBorder="1" applyAlignment="1">
      <alignment/>
    </xf>
    <xf numFmtId="1" fontId="18" fillId="34" borderId="52" xfId="0" applyNumberFormat="1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0" fillId="0" borderId="44" xfId="0" applyFill="1" applyBorder="1" applyAlignment="1">
      <alignment/>
    </xf>
    <xf numFmtId="0" fontId="0" fillId="0" borderId="37" xfId="0" applyFill="1" applyBorder="1" applyAlignment="1">
      <alignment/>
    </xf>
    <xf numFmtId="179" fontId="0" fillId="0" borderId="56" xfId="62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 vertical="center"/>
    </xf>
    <xf numFmtId="0" fontId="2" fillId="38" borderId="18" xfId="0" applyFont="1" applyFill="1" applyBorder="1" applyAlignment="1">
      <alignment/>
    </xf>
    <xf numFmtId="0" fontId="2" fillId="38" borderId="58" xfId="0" applyFont="1" applyFill="1" applyBorder="1" applyAlignment="1">
      <alignment horizontal="center" vertical="center"/>
    </xf>
    <xf numFmtId="179" fontId="0" fillId="38" borderId="19" xfId="62" applyNumberFormat="1" applyFont="1" applyFill="1" applyBorder="1" applyAlignment="1">
      <alignment horizontal="center" vertical="center"/>
    </xf>
    <xf numFmtId="179" fontId="0" fillId="38" borderId="59" xfId="62" applyNumberFormat="1" applyFont="1" applyFill="1" applyBorder="1" applyAlignment="1">
      <alignment horizontal="center" vertical="center"/>
    </xf>
    <xf numFmtId="0" fontId="2" fillId="38" borderId="23" xfId="0" applyFont="1" applyFill="1" applyBorder="1" applyAlignment="1">
      <alignment/>
    </xf>
    <xf numFmtId="0" fontId="0" fillId="38" borderId="50" xfId="0" applyFill="1" applyBorder="1" applyAlignment="1">
      <alignment/>
    </xf>
    <xf numFmtId="0" fontId="0" fillId="38" borderId="46" xfId="0" applyFill="1" applyBorder="1" applyAlignment="1">
      <alignment/>
    </xf>
    <xf numFmtId="0" fontId="0" fillId="38" borderId="51" xfId="0" applyFill="1" applyBorder="1" applyAlignment="1">
      <alignment/>
    </xf>
    <xf numFmtId="0" fontId="0" fillId="38" borderId="47" xfId="0" applyFill="1" applyBorder="1" applyAlignment="1">
      <alignment/>
    </xf>
    <xf numFmtId="0" fontId="0" fillId="38" borderId="48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62" xfId="0" applyFill="1" applyBorder="1" applyAlignment="1">
      <alignment/>
    </xf>
    <xf numFmtId="0" fontId="2" fillId="0" borderId="41" xfId="0" applyFont="1" applyFill="1" applyBorder="1" applyAlignment="1">
      <alignment vertical="center"/>
    </xf>
    <xf numFmtId="179" fontId="0" fillId="38" borderId="26" xfId="62" applyNumberFormat="1" applyFont="1" applyFill="1" applyBorder="1" applyAlignment="1">
      <alignment horizontal="center" vertical="center"/>
    </xf>
    <xf numFmtId="0" fontId="0" fillId="38" borderId="63" xfId="0" applyFill="1" applyBorder="1" applyAlignment="1">
      <alignment/>
    </xf>
    <xf numFmtId="0" fontId="0" fillId="39" borderId="22" xfId="0" applyFill="1" applyBorder="1" applyAlignment="1">
      <alignment/>
    </xf>
    <xf numFmtId="0" fontId="0" fillId="39" borderId="38" xfId="0" applyFill="1" applyBorder="1" applyAlignment="1">
      <alignment/>
    </xf>
    <xf numFmtId="0" fontId="0" fillId="39" borderId="26" xfId="0" applyFill="1" applyBorder="1" applyAlignment="1">
      <alignment/>
    </xf>
    <xf numFmtId="0" fontId="0" fillId="39" borderId="56" xfId="0" applyFill="1" applyBorder="1" applyAlignment="1">
      <alignment/>
    </xf>
    <xf numFmtId="179" fontId="0" fillId="39" borderId="56" xfId="62" applyNumberFormat="1" applyFont="1" applyFill="1" applyBorder="1" applyAlignment="1">
      <alignment horizontal="center" vertical="center"/>
    </xf>
    <xf numFmtId="0" fontId="0" fillId="39" borderId="26" xfId="0" applyFill="1" applyBorder="1" applyAlignment="1">
      <alignment horizontal="center" vertical="center"/>
    </xf>
    <xf numFmtId="0" fontId="0" fillId="39" borderId="33" xfId="0" applyFill="1" applyBorder="1" applyAlignment="1">
      <alignment/>
    </xf>
    <xf numFmtId="0" fontId="0" fillId="39" borderId="57" xfId="0" applyFill="1" applyBorder="1" applyAlignment="1">
      <alignment/>
    </xf>
    <xf numFmtId="0" fontId="1" fillId="39" borderId="64" xfId="0" applyFont="1" applyFill="1" applyBorder="1" applyAlignment="1">
      <alignment/>
    </xf>
    <xf numFmtId="0" fontId="1" fillId="39" borderId="65" xfId="0" applyFont="1" applyFill="1" applyBorder="1" applyAlignment="1">
      <alignment/>
    </xf>
    <xf numFmtId="0" fontId="1" fillId="39" borderId="66" xfId="0" applyFont="1" applyFill="1" applyBorder="1" applyAlignment="1">
      <alignment/>
    </xf>
    <xf numFmtId="0" fontId="2" fillId="39" borderId="36" xfId="0" applyFont="1" applyFill="1" applyBorder="1" applyAlignment="1">
      <alignment vertical="center"/>
    </xf>
    <xf numFmtId="0" fontId="1" fillId="39" borderId="47" xfId="0" applyFont="1" applyFill="1" applyBorder="1" applyAlignment="1">
      <alignment/>
    </xf>
    <xf numFmtId="0" fontId="1" fillId="39" borderId="48" xfId="0" applyFont="1" applyFill="1" applyBorder="1" applyAlignment="1">
      <alignment/>
    </xf>
    <xf numFmtId="0" fontId="3" fillId="40" borderId="0" xfId="0" applyFont="1" applyFill="1" applyBorder="1" applyAlignment="1">
      <alignment horizontal="center" vertical="center" wrapText="1"/>
    </xf>
    <xf numFmtId="0" fontId="3" fillId="40" borderId="0" xfId="0" applyFont="1" applyFill="1" applyBorder="1" applyAlignment="1">
      <alignment horizontal="center" vertical="center"/>
    </xf>
    <xf numFmtId="0" fontId="15" fillId="41" borderId="67" xfId="0" applyFont="1" applyFill="1" applyBorder="1" applyAlignment="1">
      <alignment horizontal="center" vertical="center"/>
    </xf>
    <xf numFmtId="0" fontId="15" fillId="41" borderId="0" xfId="0" applyFont="1" applyFill="1" applyBorder="1" applyAlignment="1">
      <alignment horizontal="center" vertical="center"/>
    </xf>
    <xf numFmtId="0" fontId="25" fillId="34" borderId="68" xfId="0" applyFont="1" applyFill="1" applyBorder="1" applyAlignment="1">
      <alignment horizontal="center" vertical="center"/>
    </xf>
    <xf numFmtId="0" fontId="25" fillId="34" borderId="69" xfId="0" applyFont="1" applyFill="1" applyBorder="1" applyAlignment="1">
      <alignment horizontal="center" vertical="center"/>
    </xf>
    <xf numFmtId="0" fontId="3" fillId="40" borderId="0" xfId="0" applyFont="1" applyFill="1" applyBorder="1" applyAlignment="1">
      <alignment horizontal="center" vertical="center" textRotation="90" wrapText="1"/>
    </xf>
    <xf numFmtId="0" fontId="3" fillId="40" borderId="0" xfId="0" applyFont="1" applyFill="1" applyAlignment="1">
      <alignment horizontal="center" wrapText="1"/>
    </xf>
    <xf numFmtId="179" fontId="24" fillId="42" borderId="70" xfId="62" applyNumberFormat="1" applyFont="1" applyFill="1" applyBorder="1" applyAlignment="1">
      <alignment horizontal="center" vertical="center" wrapText="1"/>
    </xf>
    <xf numFmtId="179" fontId="24" fillId="42" borderId="71" xfId="62" applyNumberFormat="1" applyFont="1" applyFill="1" applyBorder="1" applyAlignment="1">
      <alignment horizontal="center" vertical="center" wrapText="1"/>
    </xf>
    <xf numFmtId="179" fontId="19" fillId="0" borderId="72" xfId="62" applyNumberFormat="1" applyFont="1" applyFill="1" applyBorder="1" applyAlignment="1">
      <alignment horizontal="left" vertical="center" wrapText="1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3" fillId="40" borderId="0" xfId="0" applyFont="1" applyFill="1" applyAlignment="1">
      <alignment horizontal="center" vertical="center" textRotation="90" wrapText="1"/>
    </xf>
    <xf numFmtId="0" fontId="2" fillId="0" borderId="75" xfId="0" applyFont="1" applyFill="1" applyBorder="1" applyAlignment="1">
      <alignment horizontal="center" vertical="top" textRotation="90"/>
    </xf>
    <xf numFmtId="0" fontId="2" fillId="0" borderId="76" xfId="0" applyFont="1" applyFill="1" applyBorder="1" applyAlignment="1">
      <alignment horizontal="center" vertical="top" textRotation="90"/>
    </xf>
    <xf numFmtId="0" fontId="2" fillId="0" borderId="34" xfId="0" applyFont="1" applyFill="1" applyBorder="1" applyAlignment="1">
      <alignment horizontal="center" vertical="top" textRotation="90"/>
    </xf>
    <xf numFmtId="0" fontId="0" fillId="0" borderId="76" xfId="0" applyFill="1" applyBorder="1" applyAlignment="1">
      <alignment/>
    </xf>
    <xf numFmtId="0" fontId="0" fillId="0" borderId="34" xfId="0" applyFill="1" applyBorder="1" applyAlignment="1">
      <alignment/>
    </xf>
    <xf numFmtId="179" fontId="2" fillId="0" borderId="24" xfId="62" applyNumberFormat="1" applyFont="1" applyFill="1" applyBorder="1" applyAlignment="1" quotePrefix="1">
      <alignment horizontal="center" vertical="justify" textRotation="90" wrapText="1"/>
    </xf>
    <xf numFmtId="179" fontId="2" fillId="0" borderId="28" xfId="62" applyNumberFormat="1" applyFont="1" applyFill="1" applyBorder="1" applyAlignment="1">
      <alignment horizontal="center" vertical="justify" textRotation="90" wrapText="1"/>
    </xf>
    <xf numFmtId="179" fontId="2" fillId="0" borderId="44" xfId="62" applyNumberFormat="1" applyFont="1" applyFill="1" applyBorder="1" applyAlignment="1" quotePrefix="1">
      <alignment horizontal="center" vertical="justify" textRotation="90" wrapText="1"/>
    </xf>
    <xf numFmtId="179" fontId="2" fillId="0" borderId="77" xfId="62" applyNumberFormat="1" applyFont="1" applyFill="1" applyBorder="1" applyAlignment="1">
      <alignment horizontal="center" vertical="justify" textRotation="90" wrapText="1"/>
    </xf>
    <xf numFmtId="0" fontId="15" fillId="41" borderId="11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left" vertical="center" wrapText="1"/>
    </xf>
    <xf numFmtId="0" fontId="2" fillId="0" borderId="78" xfId="0" applyFont="1" applyFill="1" applyBorder="1" applyAlignment="1">
      <alignment horizontal="center" vertical="top" textRotation="90"/>
    </xf>
    <xf numFmtId="0" fontId="0" fillId="0" borderId="79" xfId="0" applyFill="1" applyBorder="1" applyAlignment="1">
      <alignment/>
    </xf>
    <xf numFmtId="0" fontId="0" fillId="0" borderId="49" xfId="0" applyFill="1" applyBorder="1" applyAlignment="1">
      <alignment/>
    </xf>
    <xf numFmtId="179" fontId="2" fillId="0" borderId="80" xfId="62" applyNumberFormat="1" applyFont="1" applyFill="1" applyBorder="1" applyAlignment="1" quotePrefix="1">
      <alignment horizontal="center" vertical="justify" textRotation="90" wrapText="1"/>
    </xf>
    <xf numFmtId="179" fontId="2" fillId="0" borderId="81" xfId="62" applyNumberFormat="1" applyFont="1" applyFill="1" applyBorder="1" applyAlignment="1">
      <alignment horizontal="center" vertical="justify" textRotation="90" wrapText="1"/>
    </xf>
    <xf numFmtId="179" fontId="2" fillId="0" borderId="26" xfId="62" applyNumberFormat="1" applyFont="1" applyFill="1" applyBorder="1" applyAlignment="1" quotePrefix="1">
      <alignment horizontal="center" vertical="justify" textRotation="90" wrapText="1"/>
    </xf>
    <xf numFmtId="179" fontId="2" fillId="0" borderId="82" xfId="62" applyNumberFormat="1" applyFont="1" applyFill="1" applyBorder="1" applyAlignment="1">
      <alignment horizontal="center" vertical="justify" textRotation="90" wrapText="1"/>
    </xf>
    <xf numFmtId="179" fontId="2" fillId="38" borderId="83" xfId="62" applyNumberFormat="1" applyFont="1" applyFill="1" applyBorder="1" applyAlignment="1" quotePrefix="1">
      <alignment horizontal="center" vertical="justify" textRotation="90" wrapText="1"/>
    </xf>
    <xf numFmtId="179" fontId="2" fillId="38" borderId="84" xfId="62" applyNumberFormat="1" applyFont="1" applyFill="1" applyBorder="1" applyAlignment="1">
      <alignment horizontal="center" vertical="justify" textRotation="90" wrapText="1"/>
    </xf>
    <xf numFmtId="0" fontId="11" fillId="36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179" fontId="2" fillId="38" borderId="44" xfId="62" applyNumberFormat="1" applyFont="1" applyFill="1" applyBorder="1" applyAlignment="1" quotePrefix="1">
      <alignment horizontal="center" vertical="justify" textRotation="90" wrapText="1"/>
    </xf>
    <xf numFmtId="179" fontId="2" fillId="38" borderId="77" xfId="62" applyNumberFormat="1" applyFont="1" applyFill="1" applyBorder="1" applyAlignment="1">
      <alignment horizontal="center" vertical="justify" textRotation="90" wrapText="1"/>
    </xf>
    <xf numFmtId="179" fontId="2" fillId="38" borderId="80" xfId="62" applyNumberFormat="1" applyFont="1" applyFill="1" applyBorder="1" applyAlignment="1" quotePrefix="1">
      <alignment horizontal="center" vertical="justify" textRotation="90" wrapText="1"/>
    </xf>
    <xf numFmtId="179" fontId="2" fillId="38" borderId="81" xfId="62" applyNumberFormat="1" applyFont="1" applyFill="1" applyBorder="1" applyAlignment="1">
      <alignment horizontal="center" vertical="justify" textRotation="90" wrapText="1"/>
    </xf>
    <xf numFmtId="179" fontId="2" fillId="0" borderId="85" xfId="62" applyNumberFormat="1" applyFont="1" applyFill="1" applyBorder="1" applyAlignment="1" quotePrefix="1">
      <alignment horizontal="center" vertical="justify" textRotation="90" wrapText="1"/>
    </xf>
    <xf numFmtId="0" fontId="2" fillId="0" borderId="86" xfId="0" applyFont="1" applyFill="1" applyBorder="1" applyAlignment="1">
      <alignment horizontal="center" vertical="top" textRotation="90"/>
    </xf>
    <xf numFmtId="0" fontId="2" fillId="0" borderId="87" xfId="0" applyFont="1" applyFill="1" applyBorder="1" applyAlignment="1">
      <alignment horizontal="center" vertical="top" textRotation="90"/>
    </xf>
    <xf numFmtId="0" fontId="2" fillId="0" borderId="62" xfId="0" applyFont="1" applyFill="1" applyBorder="1" applyAlignment="1">
      <alignment horizontal="center" vertical="top" textRotation="90"/>
    </xf>
    <xf numFmtId="0" fontId="2" fillId="38" borderId="78" xfId="0" applyFont="1" applyFill="1" applyBorder="1" applyAlignment="1">
      <alignment horizontal="center" vertical="top" textRotation="90"/>
    </xf>
    <xf numFmtId="0" fontId="2" fillId="38" borderId="79" xfId="0" applyFont="1" applyFill="1" applyBorder="1" applyAlignment="1">
      <alignment horizontal="center" vertical="top" textRotation="90"/>
    </xf>
    <xf numFmtId="0" fontId="2" fillId="38" borderId="49" xfId="0" applyFont="1" applyFill="1" applyBorder="1" applyAlignment="1">
      <alignment horizontal="center" vertical="top" textRotation="90"/>
    </xf>
    <xf numFmtId="179" fontId="2" fillId="38" borderId="88" xfId="62" applyNumberFormat="1" applyFont="1" applyFill="1" applyBorder="1" applyAlignment="1">
      <alignment horizontal="center" vertical="justify" textRotation="90" wrapText="1"/>
    </xf>
    <xf numFmtId="179" fontId="2" fillId="38" borderId="24" xfId="62" applyNumberFormat="1" applyFont="1" applyFill="1" applyBorder="1" applyAlignment="1" quotePrefix="1">
      <alignment horizontal="center" vertical="justify" textRotation="90" wrapText="1"/>
    </xf>
    <xf numFmtId="179" fontId="2" fillId="38" borderId="47" xfId="62" applyNumberFormat="1" applyFont="1" applyFill="1" applyBorder="1" applyAlignment="1">
      <alignment horizontal="center" vertical="justify" textRotation="90" wrapText="1"/>
    </xf>
    <xf numFmtId="179" fontId="2" fillId="38" borderId="28" xfId="62" applyNumberFormat="1" applyFont="1" applyFill="1" applyBorder="1" applyAlignment="1">
      <alignment horizontal="center" vertical="justify" textRotation="90" wrapText="1"/>
    </xf>
    <xf numFmtId="179" fontId="2" fillId="38" borderId="45" xfId="62" applyNumberFormat="1" applyFont="1" applyFill="1" applyBorder="1" applyAlignment="1" quotePrefix="1">
      <alignment horizontal="center" vertical="justify" textRotation="90" wrapText="1"/>
    </xf>
    <xf numFmtId="179" fontId="2" fillId="38" borderId="89" xfId="62" applyNumberFormat="1" applyFont="1" applyFill="1" applyBorder="1" applyAlignment="1">
      <alignment horizontal="center" vertical="justify" textRotation="90" wrapText="1"/>
    </xf>
    <xf numFmtId="0" fontId="11" fillId="36" borderId="68" xfId="0" applyFont="1" applyFill="1" applyBorder="1" applyAlignment="1">
      <alignment horizontal="center" vertical="center" wrapText="1"/>
    </xf>
    <xf numFmtId="0" fontId="3" fillId="36" borderId="90" xfId="0" applyFont="1" applyFill="1" applyBorder="1" applyAlignment="1">
      <alignment horizontal="center" vertical="center" wrapText="1"/>
    </xf>
    <xf numFmtId="0" fontId="3" fillId="36" borderId="69" xfId="0" applyFont="1" applyFill="1" applyBorder="1" applyAlignment="1">
      <alignment horizontal="center" vertical="center" wrapText="1"/>
    </xf>
    <xf numFmtId="0" fontId="2" fillId="38" borderId="64" xfId="0" applyFont="1" applyFill="1" applyBorder="1" applyAlignment="1">
      <alignment horizontal="center" vertical="top" textRotation="90"/>
    </xf>
    <xf numFmtId="0" fontId="2" fillId="38" borderId="87" xfId="0" applyFont="1" applyFill="1" applyBorder="1" applyAlignment="1">
      <alignment horizontal="center" vertical="top" textRotation="90"/>
    </xf>
    <xf numFmtId="0" fontId="2" fillId="38" borderId="91" xfId="0" applyFont="1" applyFill="1" applyBorder="1" applyAlignment="1">
      <alignment horizontal="center" vertical="top" textRotation="90"/>
    </xf>
    <xf numFmtId="0" fontId="2" fillId="38" borderId="76" xfId="0" applyFont="1" applyFill="1" applyBorder="1" applyAlignment="1">
      <alignment horizontal="center" vertical="top" textRotation="90"/>
    </xf>
    <xf numFmtId="0" fontId="2" fillId="38" borderId="65" xfId="0" applyFont="1" applyFill="1" applyBorder="1" applyAlignment="1">
      <alignment horizontal="center" vertical="top" textRotation="90"/>
    </xf>
    <xf numFmtId="179" fontId="2" fillId="38" borderId="56" xfId="62" applyNumberFormat="1" applyFont="1" applyFill="1" applyBorder="1" applyAlignment="1" quotePrefix="1">
      <alignment horizontal="center" vertical="justify" textRotation="90" wrapText="1"/>
    </xf>
    <xf numFmtId="179" fontId="2" fillId="38" borderId="92" xfId="62" applyNumberFormat="1" applyFont="1" applyFill="1" applyBorder="1" applyAlignment="1">
      <alignment horizontal="center" vertical="justify" textRotation="90" wrapText="1"/>
    </xf>
    <xf numFmtId="0" fontId="2" fillId="38" borderId="86" xfId="0" applyFont="1" applyFill="1" applyBorder="1" applyAlignment="1">
      <alignment horizontal="center" vertical="top" textRotation="90"/>
    </xf>
    <xf numFmtId="0" fontId="2" fillId="38" borderId="62" xfId="0" applyFont="1" applyFill="1" applyBorder="1" applyAlignment="1">
      <alignment horizontal="center" vertical="top" textRotation="90"/>
    </xf>
    <xf numFmtId="179" fontId="2" fillId="38" borderId="26" xfId="62" applyNumberFormat="1" applyFont="1" applyFill="1" applyBorder="1" applyAlignment="1" quotePrefix="1">
      <alignment horizontal="center" vertical="justify" textRotation="90" wrapText="1"/>
    </xf>
    <xf numFmtId="179" fontId="2" fillId="38" borderId="82" xfId="62" applyNumberFormat="1" applyFont="1" applyFill="1" applyBorder="1" applyAlignment="1">
      <alignment horizontal="center" vertical="justify" textRotation="90" wrapText="1"/>
    </xf>
    <xf numFmtId="179" fontId="2" fillId="39" borderId="26" xfId="62" applyNumberFormat="1" applyFont="1" applyFill="1" applyBorder="1" applyAlignment="1" quotePrefix="1">
      <alignment horizontal="center" vertical="justify" textRotation="90" wrapText="1"/>
    </xf>
    <xf numFmtId="179" fontId="2" fillId="39" borderId="82" xfId="62" applyNumberFormat="1" applyFont="1" applyFill="1" applyBorder="1" applyAlignment="1">
      <alignment horizontal="center" vertical="justify" textRotation="90" wrapText="1"/>
    </xf>
    <xf numFmtId="179" fontId="2" fillId="39" borderId="56" xfId="62" applyNumberFormat="1" applyFont="1" applyFill="1" applyBorder="1" applyAlignment="1" quotePrefix="1">
      <alignment horizontal="center" vertical="justify" textRotation="90" wrapText="1"/>
    </xf>
    <xf numFmtId="179" fontId="2" fillId="39" borderId="92" xfId="62" applyNumberFormat="1" applyFont="1" applyFill="1" applyBorder="1" applyAlignment="1">
      <alignment horizontal="center" vertical="justify" textRotation="90" wrapText="1"/>
    </xf>
    <xf numFmtId="0" fontId="2" fillId="38" borderId="75" xfId="0" applyFont="1" applyFill="1" applyBorder="1" applyAlignment="1">
      <alignment horizontal="center" vertical="top" textRotation="90"/>
    </xf>
    <xf numFmtId="0" fontId="2" fillId="38" borderId="34" xfId="0" applyFont="1" applyFill="1" applyBorder="1" applyAlignment="1">
      <alignment horizontal="center" vertical="top" textRotation="90"/>
    </xf>
    <xf numFmtId="0" fontId="0" fillId="38" borderId="79" xfId="0" applyFill="1" applyBorder="1" applyAlignment="1">
      <alignment/>
    </xf>
    <xf numFmtId="0" fontId="0" fillId="38" borderId="49" xfId="0" applyFill="1" applyBorder="1" applyAlignment="1">
      <alignment/>
    </xf>
    <xf numFmtId="0" fontId="0" fillId="38" borderId="76" xfId="0" applyFill="1" applyBorder="1" applyAlignment="1">
      <alignment/>
    </xf>
    <xf numFmtId="0" fontId="0" fillId="38" borderId="34" xfId="0" applyFill="1" applyBorder="1" applyAlignment="1">
      <alignment/>
    </xf>
    <xf numFmtId="0" fontId="3" fillId="36" borderId="93" xfId="0" applyFont="1" applyFill="1" applyBorder="1" applyAlignment="1">
      <alignment horizontal="center" vertical="center" wrapText="1"/>
    </xf>
    <xf numFmtId="0" fontId="3" fillId="36" borderId="94" xfId="0" applyFont="1" applyFill="1" applyBorder="1" applyAlignment="1">
      <alignment horizontal="center" vertical="center"/>
    </xf>
    <xf numFmtId="0" fontId="26" fillId="41" borderId="0" xfId="0" applyFont="1" applyFill="1" applyAlignment="1">
      <alignment horizontal="center"/>
    </xf>
    <xf numFmtId="179" fontId="14" fillId="33" borderId="95" xfId="62" applyNumberFormat="1" applyFont="1" applyFill="1" applyBorder="1" applyAlignment="1">
      <alignment horizontal="center" vertical="center"/>
    </xf>
    <xf numFmtId="179" fontId="14" fillId="33" borderId="10" xfId="62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7">
    <dxf>
      <font>
        <b/>
        <i val="0"/>
        <color indexed="44"/>
      </font>
      <fill>
        <patternFill>
          <bgColor indexed="44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52"/>
  <sheetViews>
    <sheetView showGridLines="0" showRowColHeaders="0" tabSelected="1" zoomScale="60" zoomScaleNormal="60" zoomScalePageLayoutView="0" workbookViewId="0" topLeftCell="A1">
      <selection activeCell="C4" sqref="C4"/>
    </sheetView>
  </sheetViews>
  <sheetFormatPr defaultColWidth="9.140625" defaultRowHeight="31.5" customHeight="1"/>
  <cols>
    <col min="1" max="1" width="2.421875" style="0" customWidth="1"/>
    <col min="2" max="2" width="26.7109375" style="0" customWidth="1"/>
    <col min="3" max="3" width="52.7109375" style="0" customWidth="1"/>
    <col min="5" max="5" width="11.421875" style="0" customWidth="1"/>
    <col min="6" max="6" width="4.140625" style="0" customWidth="1"/>
    <col min="7" max="26" width="7.140625" style="0" customWidth="1"/>
    <col min="27" max="27" width="3.140625" style="0" customWidth="1"/>
    <col min="28" max="28" width="9.28125" style="0" customWidth="1"/>
    <col min="29" max="29" width="10.7109375" style="0" customWidth="1"/>
    <col min="51" max="51" width="9.140625" style="10" customWidth="1"/>
  </cols>
  <sheetData>
    <row r="1" spans="2:28" ht="31.5" customHeight="1">
      <c r="B1" s="174" t="s">
        <v>65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</row>
    <row r="2" ht="31.5" customHeight="1" thickBot="1">
      <c r="G2" s="4"/>
    </row>
    <row r="3" spans="2:18" ht="31.5" customHeight="1" thickBot="1">
      <c r="B3" s="176" t="s">
        <v>59</v>
      </c>
      <c r="C3" s="177"/>
      <c r="O3" s="179" t="s">
        <v>25</v>
      </c>
      <c r="P3" s="179"/>
      <c r="Q3" s="179"/>
      <c r="R3" s="179"/>
    </row>
    <row r="4" spans="2:27" ht="31.5" customHeight="1" thickBot="1">
      <c r="B4" s="32" t="s">
        <v>49</v>
      </c>
      <c r="C4" s="66">
        <v>35</v>
      </c>
      <c r="F4" s="1">
        <v>0</v>
      </c>
      <c r="G4" s="1">
        <v>1</v>
      </c>
      <c r="H4" s="1">
        <v>2</v>
      </c>
      <c r="I4" s="1">
        <v>3</v>
      </c>
      <c r="J4" s="1">
        <v>4</v>
      </c>
      <c r="K4" s="1">
        <v>5</v>
      </c>
      <c r="L4" s="1">
        <v>6</v>
      </c>
      <c r="M4" s="1">
        <v>7</v>
      </c>
      <c r="N4" s="1">
        <v>8</v>
      </c>
      <c r="O4" s="1">
        <v>9</v>
      </c>
      <c r="P4" s="3">
        <v>10</v>
      </c>
      <c r="Q4" s="2">
        <v>11</v>
      </c>
      <c r="R4" s="1">
        <v>12</v>
      </c>
      <c r="S4" s="1">
        <v>13</v>
      </c>
      <c r="T4" s="1">
        <v>14</v>
      </c>
      <c r="U4" s="1">
        <v>15</v>
      </c>
      <c r="V4" s="1">
        <v>16</v>
      </c>
      <c r="W4" s="1">
        <v>17</v>
      </c>
      <c r="X4" s="1">
        <v>18</v>
      </c>
      <c r="Y4" s="1">
        <v>19</v>
      </c>
      <c r="Z4" s="1">
        <v>20</v>
      </c>
      <c r="AA4" s="1"/>
    </row>
    <row r="5" spans="2:27" ht="31.5" customHeight="1" thickBot="1">
      <c r="B5" s="32" t="s">
        <v>54</v>
      </c>
      <c r="C5" s="67">
        <v>3450</v>
      </c>
      <c r="F5" s="1">
        <v>1</v>
      </c>
      <c r="G5" s="69" t="str">
        <f>IF(AND('Lógica de Cálculo'!$U$6&gt;=10,'Lógica de Cálculo'!$U$9&gt;=10),"x"," ")</f>
        <v> </v>
      </c>
      <c r="H5" s="70" t="str">
        <f>IF(AND('Lógica de Cálculo'!$U$6&gt;=10,'Lógica de Cálculo'!$U$9&gt;=9),"x"," ")</f>
        <v> </v>
      </c>
      <c r="I5" s="70" t="str">
        <f>IF(AND('Lógica de Cálculo'!$U$6&gt;=10,'Lógica de Cálculo'!$U$9&gt;=8),"x"," ")</f>
        <v> </v>
      </c>
      <c r="J5" s="70" t="str">
        <f>IF(AND('Lógica de Cálculo'!$U$6&gt;=10,'Lógica de Cálculo'!$U$9&gt;=7),"x"," ")</f>
        <v> </v>
      </c>
      <c r="K5" s="70" t="str">
        <f>IF(AND('Lógica de Cálculo'!$U$6&gt;=10,'Lógica de Cálculo'!$U$9&gt;=6),"x"," ")</f>
        <v> </v>
      </c>
      <c r="L5" s="70" t="str">
        <f>IF(AND('Lógica de Cálculo'!$U$6&gt;=10,'Lógica de Cálculo'!$U$9&gt;=5),"x"," ")</f>
        <v> </v>
      </c>
      <c r="M5" s="70" t="str">
        <f>IF(AND('Lógica de Cálculo'!$U$6&gt;=10,'Lógica de Cálculo'!$U$9&gt;=4),"x"," ")</f>
        <v> </v>
      </c>
      <c r="N5" s="70" t="str">
        <f>IF(AND('Lógica de Cálculo'!$U$6&gt;=10,'Lógica de Cálculo'!$U$9&gt;=3),"x"," ")</f>
        <v> </v>
      </c>
      <c r="O5" s="70" t="str">
        <f>IF(AND('Lógica de Cálculo'!$U$6&gt;=10,'Lógica de Cálculo'!$U$9&gt;=2),"x"," ")</f>
        <v> </v>
      </c>
      <c r="P5" s="71" t="str">
        <f>IF(AND('Lógica de Cálculo'!$U$6&gt;=10,'Lógica de Cálculo'!$U$9&gt;=1),"x","45")</f>
        <v>45</v>
      </c>
      <c r="Q5" s="72" t="str">
        <f>IF(AND('Lógica de Cálculo'!$U$6&gt;=10,'Lógica de Cálculo'!$U$7&gt;=1),"x","50")</f>
        <v>50</v>
      </c>
      <c r="R5" s="70" t="str">
        <f>IF(AND('Lógica de Cálculo'!$U$6&gt;=10,'Lógica de Cálculo'!$U$7&gt;=2),"x"," ")</f>
        <v> </v>
      </c>
      <c r="S5" s="70" t="str">
        <f>IF(AND('Lógica de Cálculo'!$U$6&gt;=10,'Lógica de Cálculo'!$U$7&gt;=3),"x"," ")</f>
        <v> </v>
      </c>
      <c r="T5" s="70" t="str">
        <f>IF(AND('Lógica de Cálculo'!$U$6&gt;=10,'Lógica de Cálculo'!$U$7&gt;=4),"x"," ")</f>
        <v> </v>
      </c>
      <c r="U5" s="70" t="str">
        <f>IF(AND('Lógica de Cálculo'!$U$6&gt;=10,'Lógica de Cálculo'!$U$7&gt;=5),"x"," ")</f>
        <v> </v>
      </c>
      <c r="V5" s="70" t="str">
        <f>IF(AND('Lógica de Cálculo'!$U$6&gt;=10,'Lógica de Cálculo'!$U$7&gt;=6),"x"," ")</f>
        <v> </v>
      </c>
      <c r="W5" s="70" t="str">
        <f>IF(AND('Lógica de Cálculo'!$U$6&gt;=10,'Lógica de Cálculo'!$U$7&gt;=7),"x"," ")</f>
        <v> </v>
      </c>
      <c r="X5" s="70" t="str">
        <f>IF(AND('Lógica de Cálculo'!$U$6&gt;=10,'Lógica de Cálculo'!$U$7&gt;=8),"x"," ")</f>
        <v> </v>
      </c>
      <c r="Y5" s="70" t="str">
        <f>IF(AND('Lógica de Cálculo'!$U$6&gt;=10,'Lógica de Cálculo'!$U$7&gt;=9),"x"," ")</f>
        <v> </v>
      </c>
      <c r="Z5" s="73" t="str">
        <f>IF(AND('Lógica de Cálculo'!$U$6&gt;=10,'Lógica de Cálculo'!$U$7&gt;=10),"x"," ")</f>
        <v> </v>
      </c>
      <c r="AA5" s="6">
        <v>1</v>
      </c>
    </row>
    <row r="6" spans="2:27" ht="31.5" customHeight="1" thickBot="1">
      <c r="B6" s="32" t="s">
        <v>61</v>
      </c>
      <c r="C6" s="68" t="s">
        <v>3</v>
      </c>
      <c r="F6" s="1">
        <v>2</v>
      </c>
      <c r="G6" s="74" t="str">
        <f>IF(AND('Lógica de Cálculo'!$U$6&gt;=9,'Lógica de Cálculo'!$U$9&gt;=10),"x"," ")</f>
        <v> </v>
      </c>
      <c r="H6" s="75" t="str">
        <f>IF(AND('Lógica de Cálculo'!$U$6&gt;=9,'Lógica de Cálculo'!$U$9&gt;=9),"x"," ")</f>
        <v> </v>
      </c>
      <c r="I6" s="75" t="str">
        <f>IF(AND('Lógica de Cálculo'!$U$6&gt;=9,'Lógica de Cálculo'!$U$9&gt;=8),"x"," ")</f>
        <v> </v>
      </c>
      <c r="J6" s="75" t="str">
        <f>IF(AND('Lógica de Cálculo'!$U$6&gt;=9,'Lógica de Cálculo'!$U$9&gt;=7),"x"," ")</f>
        <v> </v>
      </c>
      <c r="K6" s="75" t="str">
        <f>IF(AND('Lógica de Cálculo'!$U$6&gt;=9,'Lógica de Cálculo'!$U$9&gt;=6),"x"," ")</f>
        <v> </v>
      </c>
      <c r="L6" s="75" t="str">
        <f>IF(AND('Lógica de Cálculo'!$U$6&gt;=9,'Lógica de Cálculo'!$U$9&gt;=5),"x"," ")</f>
        <v> </v>
      </c>
      <c r="M6" s="75" t="str">
        <f>IF(AND('Lógica de Cálculo'!$U$6&gt;=9,'Lógica de Cálculo'!$U$9&gt;=4),"x"," ")</f>
        <v> </v>
      </c>
      <c r="N6" s="75" t="str">
        <f>IF(AND('Lógica de Cálculo'!$U$6&gt;=9,'Lógica de Cálculo'!$U$9&gt;=3),"x"," ")</f>
        <v> </v>
      </c>
      <c r="O6" s="75" t="str">
        <f>IF(AND('Lógica de Cálculo'!$U$6&gt;=9,'Lógica de Cálculo'!$U$9&gt;=2),"x"," ")</f>
        <v> </v>
      </c>
      <c r="P6" s="76" t="str">
        <f>IF(AND('Lógica de Cálculo'!$U$6&gt;=9,'Lógica de Cálculo'!$U$9&gt;=1),"x","42")</f>
        <v>42</v>
      </c>
      <c r="Q6" s="77" t="str">
        <f>IF(AND('Lógica de Cálculo'!$U$6&gt;=9,'Lógica de Cálculo'!$U$7&gt;=1),"x","53 ")</f>
        <v>53 </v>
      </c>
      <c r="R6" s="75" t="str">
        <f>IF(AND('Lógica de Cálculo'!$U$6&gt;=9,'Lógica de Cálculo'!$U$7&gt;=2),"x"," ")</f>
        <v> </v>
      </c>
      <c r="S6" s="75" t="str">
        <f>IF(AND('Lógica de Cálculo'!$U$6&gt;=9,'Lógica de Cálculo'!$U$7&gt;=3),"x"," ")</f>
        <v> </v>
      </c>
      <c r="T6" s="75" t="str">
        <f>IF(AND('Lógica de Cálculo'!$U$6&gt;=9,'Lógica de Cálculo'!$U$7&gt;=4),"x"," ")</f>
        <v> </v>
      </c>
      <c r="U6" s="75" t="str">
        <f>IF(AND('Lógica de Cálculo'!$U$6&gt;=9,'Lógica de Cálculo'!$U$7&gt;=5),"x"," ")</f>
        <v> </v>
      </c>
      <c r="V6" s="75" t="str">
        <f>IF(AND('Lógica de Cálculo'!$U$6&gt;=9,'Lógica de Cálculo'!$U$7&gt;=6),"x"," ")</f>
        <v> </v>
      </c>
      <c r="W6" s="75" t="str">
        <f>IF(AND('Lógica de Cálculo'!$U$6&gt;=9,'Lógica de Cálculo'!$U$7&gt;=7),"x"," ")</f>
        <v> </v>
      </c>
      <c r="X6" s="75" t="str">
        <f>IF(AND('Lógica de Cálculo'!$U$6&gt;=9,'Lógica de Cálculo'!$U$7&gt;=8),"x"," ")</f>
        <v> </v>
      </c>
      <c r="Y6" s="75" t="str">
        <f>IF(AND('Lógica de Cálculo'!$U$6&gt;=9,'Lógica de Cálculo'!$U$7&gt;=9),"x"," ")</f>
        <v> </v>
      </c>
      <c r="Z6" s="78" t="str">
        <f>IF(AND('Lógica de Cálculo'!$U$6&gt;=9,'Lógica de Cálculo'!$U$7&gt;=10),"x"," ")</f>
        <v> </v>
      </c>
      <c r="AA6" s="6">
        <v>2</v>
      </c>
    </row>
    <row r="7" spans="2:27" ht="31.5" customHeight="1" thickBot="1">
      <c r="B7" s="33" t="s">
        <v>62</v>
      </c>
      <c r="C7" s="66" t="s">
        <v>30</v>
      </c>
      <c r="F7" s="1">
        <v>3</v>
      </c>
      <c r="G7" s="74" t="str">
        <f>IF(AND('Lógica de Cálculo'!$U$6&gt;=8,'Lógica de Cálculo'!$U$9&gt;=10),"x"," ")</f>
        <v> </v>
      </c>
      <c r="H7" s="75" t="str">
        <f>IF(AND('Lógica de Cálculo'!$U$6&gt;=8,'Lógica de Cálculo'!$U$9&gt;=9),"x"," ")</f>
        <v> </v>
      </c>
      <c r="I7" s="75" t="str">
        <f>IF(AND('Lógica de Cálculo'!$U$6&gt;=8,'Lógica de Cálculo'!$U$9&gt;=8),"x"," ")</f>
        <v> </v>
      </c>
      <c r="J7" s="75" t="str">
        <f>IF(AND('Lógica de Cálculo'!$U$6&gt;=8,'Lógica de Cálculo'!$U$9&gt;=7),"x"," ")</f>
        <v> </v>
      </c>
      <c r="K7" s="75" t="str">
        <f>IF(AND('Lógica de Cálculo'!$U$6&gt;=8,'Lógica de Cálculo'!$U$9&gt;=6),"x"," ")</f>
        <v> </v>
      </c>
      <c r="L7" s="75" t="str">
        <f>IF(AND('Lógica de Cálculo'!$U$6&gt;=8,'Lógica de Cálculo'!$U$9&gt;=5),"x"," ")</f>
        <v> </v>
      </c>
      <c r="M7" s="75" t="str">
        <f>IF(AND('Lógica de Cálculo'!$U$6&gt;=8,'Lógica de Cálculo'!$U$9&gt;=4),"x"," ")</f>
        <v> </v>
      </c>
      <c r="N7" s="75" t="str">
        <f>IF(AND('Lógica de Cálculo'!$U$6&gt;=8,'Lógica de Cálculo'!$U$9&gt;=3),"x"," ")</f>
        <v> </v>
      </c>
      <c r="O7" s="75" t="str">
        <f>IF(AND('Lógica de Cálculo'!$U$6&gt;=8,'Lógica de Cálculo'!$U$9&gt;=2),"x"," ")</f>
        <v> </v>
      </c>
      <c r="P7" s="76" t="str">
        <f>IF(AND('Lógica de Cálculo'!$U$6&gt;=8,'Lógica de Cálculo'!$U$9&gt;=1),"x","39")</f>
        <v>39</v>
      </c>
      <c r="Q7" s="77" t="str">
        <f>IF(AND('Lógica de Cálculo'!$U$6&gt;=8,'Lógica de Cálculo'!$U$7&gt;=1),"x","56 ")</f>
        <v>56 </v>
      </c>
      <c r="R7" s="75" t="str">
        <f>IF(AND('Lógica de Cálculo'!$U$6&gt;=8,'Lógica de Cálculo'!$U$7&gt;=2),"x"," ")</f>
        <v> </v>
      </c>
      <c r="S7" s="75" t="str">
        <f>IF(AND('Lógica de Cálculo'!$U$6&gt;=8,'Lógica de Cálculo'!$U$7&gt;=3),"x"," ")</f>
        <v> </v>
      </c>
      <c r="T7" s="75" t="str">
        <f>IF(AND('Lógica de Cálculo'!$U$6&gt;=8,'Lógica de Cálculo'!$U$7&gt;=4),"x"," ")</f>
        <v> </v>
      </c>
      <c r="U7" s="75" t="str">
        <f>IF(AND('Lógica de Cálculo'!$U$6&gt;=8,'Lógica de Cálculo'!$U$7&gt;=5),"x"," ")</f>
        <v> </v>
      </c>
      <c r="V7" s="75" t="str">
        <f>IF(AND('Lógica de Cálculo'!$U$6&gt;=8,'Lógica de Cálculo'!$U$7&gt;=6),"x"," ")</f>
        <v> </v>
      </c>
      <c r="W7" s="75" t="str">
        <f>IF(AND('Lógica de Cálculo'!$U$6&gt;=8,'Lógica de Cálculo'!$U$7&gt;=7),"x"," ")</f>
        <v> </v>
      </c>
      <c r="X7" s="75" t="str">
        <f>IF(AND('Lógica de Cálculo'!$U$6&gt;=8,'Lógica de Cálculo'!$U$7&gt;=8),"x"," ")</f>
        <v> </v>
      </c>
      <c r="Y7" s="75" t="str">
        <f>IF(AND('Lógica de Cálculo'!$U$6&gt;=8,'Lógica de Cálculo'!$U$7&gt;=9),"x"," ")</f>
        <v> </v>
      </c>
      <c r="Z7" s="78" t="str">
        <f>IF(AND('Lógica de Cálculo'!$U$6&gt;=8,'Lógica de Cálculo'!$U$7&gt;=10),"x"," ")</f>
        <v> </v>
      </c>
      <c r="AA7" s="6">
        <v>3</v>
      </c>
    </row>
    <row r="8" spans="2:27" ht="31.5" customHeight="1">
      <c r="B8" s="182" t="s">
        <v>63</v>
      </c>
      <c r="C8" s="182"/>
      <c r="F8" s="1">
        <v>4</v>
      </c>
      <c r="G8" s="74" t="str">
        <f>IF(AND('Lógica de Cálculo'!$U$6&gt;=7,'Lógica de Cálculo'!$U$9&gt;=10),"x"," ")</f>
        <v> </v>
      </c>
      <c r="H8" s="75" t="str">
        <f>IF(AND('Lógica de Cálculo'!$U$6&gt;=7,'Lógica de Cálculo'!$U$9&gt;=9),"x"," ")</f>
        <v> </v>
      </c>
      <c r="I8" s="75" t="str">
        <f>IF(AND('Lógica de Cálculo'!$U$6&gt;=7,'Lógica de Cálculo'!$U$9&gt;=8),"x"," ")</f>
        <v> </v>
      </c>
      <c r="J8" s="75" t="str">
        <f>IF(AND('Lógica de Cálculo'!$U$6&gt;=7,'Lógica de Cálculo'!$U$9&gt;=7),"x"," ")</f>
        <v> </v>
      </c>
      <c r="K8" s="75" t="str">
        <f>IF(AND('Lógica de Cálculo'!$U$6&gt;=7,'Lógica de Cálculo'!$U$9&gt;=6),"x"," ")</f>
        <v> </v>
      </c>
      <c r="L8" s="75" t="str">
        <f>IF(AND('Lógica de Cálculo'!$U$6&gt;=7,'Lógica de Cálculo'!$U$9&gt;=5),"x"," ")</f>
        <v> </v>
      </c>
      <c r="M8" s="75" t="str">
        <f>IF(AND('Lógica de Cálculo'!$U$6&gt;=7,'Lógica de Cálculo'!$U$9&gt;=4),"x"," ")</f>
        <v> </v>
      </c>
      <c r="N8" s="75" t="str">
        <f>IF(AND('Lógica de Cálculo'!$U$6&gt;=7,'Lógica de Cálculo'!$U$9&gt;=3),"x"," ")</f>
        <v> </v>
      </c>
      <c r="O8" s="75" t="str">
        <f>IF(AND('Lógica de Cálculo'!$U$6&gt;=7,'Lógica de Cálculo'!$U$9&gt;=2),"x"," ")</f>
        <v> </v>
      </c>
      <c r="P8" s="76" t="str">
        <f>IF(AND('Lógica de Cálculo'!$U$6&gt;=7,'Lógica de Cálculo'!$U$9&gt;=1),"x","36")</f>
        <v>36</v>
      </c>
      <c r="Q8" s="77" t="str">
        <f>IF(AND('Lógica de Cálculo'!$U$6&gt;=7,'Lógica de Cálculo'!$U$7&gt;=1),"x","60 ")</f>
        <v>60 </v>
      </c>
      <c r="R8" s="75" t="str">
        <f>IF(AND('Lógica de Cálculo'!$U$6&gt;=7,'Lógica de Cálculo'!$U$7&gt;=2),"x"," ")</f>
        <v> </v>
      </c>
      <c r="S8" s="75" t="str">
        <f>IF(AND('Lógica de Cálculo'!$U$6&gt;=7,'Lógica de Cálculo'!$U$7&gt;=3),"x"," ")</f>
        <v> </v>
      </c>
      <c r="T8" s="75" t="str">
        <f>IF(AND('Lógica de Cálculo'!$U$6&gt;=7,'Lógica de Cálculo'!$U$7&gt;=4),"x"," ")</f>
        <v> </v>
      </c>
      <c r="U8" s="75" t="str">
        <f>IF(AND('Lógica de Cálculo'!$U$6&gt;=7,'Lógica de Cálculo'!$U$7&gt;=5),"x"," ")</f>
        <v> </v>
      </c>
      <c r="V8" s="75" t="str">
        <f>IF(AND('Lógica de Cálculo'!$U$6&gt;=7,'Lógica de Cálculo'!$U$7&gt;=6),"x"," ")</f>
        <v> </v>
      </c>
      <c r="W8" s="75" t="str">
        <f>IF(AND('Lógica de Cálculo'!$U$6&gt;=7,'Lógica de Cálculo'!$U$7&gt;=7),"x"," ")</f>
        <v> </v>
      </c>
      <c r="X8" s="75" t="str">
        <f>IF(AND('Lógica de Cálculo'!$U$6&gt;=7,'Lógica de Cálculo'!$U$7&gt;=8),"x"," ")</f>
        <v> </v>
      </c>
      <c r="Y8" s="75" t="str">
        <f>IF(AND('Lógica de Cálculo'!$U$6&gt;=7,'Lógica de Cálculo'!$U$7&gt;=9),"x"," ")</f>
        <v> </v>
      </c>
      <c r="Z8" s="78" t="str">
        <f>IF(AND('Lógica de Cálculo'!$U$6&gt;=7,'Lógica de Cálculo'!$U$7&gt;=10),"x"," ")</f>
        <v> </v>
      </c>
      <c r="AA8" s="6">
        <v>4</v>
      </c>
    </row>
    <row r="9" spans="6:27" ht="31.5" customHeight="1">
      <c r="F9" s="1">
        <v>5</v>
      </c>
      <c r="G9" s="74" t="str">
        <f>IF(AND('Lógica de Cálculo'!$U$6&gt;=6,'Lógica de Cálculo'!$U$9&gt;=10),"x"," ")</f>
        <v> </v>
      </c>
      <c r="H9" s="75" t="str">
        <f>IF(AND('Lógica de Cálculo'!$U$6&gt;=6,'Lógica de Cálculo'!$U$9&gt;=9),"x"," ")</f>
        <v> </v>
      </c>
      <c r="I9" s="75" t="str">
        <f>IF(AND('Lógica de Cálculo'!$U$6&gt;=6,'Lógica de Cálculo'!$U$9&gt;=8),"x"," ")</f>
        <v> </v>
      </c>
      <c r="J9" s="75" t="str">
        <f>IF(AND('Lógica de Cálculo'!$U$6&gt;=6,'Lógica de Cálculo'!$U$9&gt;=7),"x"," ")</f>
        <v> </v>
      </c>
      <c r="K9" s="75" t="str">
        <f>IF(AND('Lógica de Cálculo'!$U$6&gt;=6,'Lógica de Cálculo'!$U$9&gt;=6),"x"," ")</f>
        <v>x</v>
      </c>
      <c r="L9" s="75" t="str">
        <f>IF(AND('Lógica de Cálculo'!$U$6&gt;=6,'Lógica de Cálculo'!$U$9&gt;=5),"x"," ")</f>
        <v>x</v>
      </c>
      <c r="M9" s="75" t="str">
        <f>IF(AND('Lógica de Cálculo'!$U$6&gt;=6,'Lógica de Cálculo'!$U$9&gt;=4),"x"," ")</f>
        <v>x</v>
      </c>
      <c r="N9" s="75" t="str">
        <f>IF(AND('Lógica de Cálculo'!$U$6&gt;=6,'Lógica de Cálculo'!$U$9&gt;=3),"x"," ")</f>
        <v>x</v>
      </c>
      <c r="O9" s="75" t="str">
        <f>IF(AND('Lógica de Cálculo'!$U$6&gt;=6,'Lógica de Cálculo'!$U$9&gt;=2),"x"," ")</f>
        <v>x</v>
      </c>
      <c r="P9" s="76" t="str">
        <f>IF(AND('Lógica de Cálculo'!$U$6&gt;=6,'Lógica de Cálculo'!$U$9&gt;=1),"x","33")</f>
        <v>x</v>
      </c>
      <c r="Q9" s="77" t="str">
        <f>IF(AND('Lógica de Cálculo'!$U$6&gt;=6,'Lógica de Cálculo'!$U$7&gt;=1),"x","65 ")</f>
        <v>x</v>
      </c>
      <c r="R9" s="75" t="str">
        <f>IF(AND('Lógica de Cálculo'!$U$6&gt;=6,'Lógica de Cálculo'!$U$7&gt;=2),"x"," ")</f>
        <v>x</v>
      </c>
      <c r="S9" s="75" t="str">
        <f>IF(AND('Lógica de Cálculo'!$U$6&gt;=6,'Lógica de Cálculo'!$U$7&gt;=3),"x"," ")</f>
        <v>x</v>
      </c>
      <c r="T9" s="75" t="str">
        <f>IF(AND('Lógica de Cálculo'!$U$6&gt;=6,'Lógica de Cálculo'!$U$7&gt;=4),"x"," ")</f>
        <v>x</v>
      </c>
      <c r="U9" s="75" t="str">
        <f>IF(AND('Lógica de Cálculo'!$U$6&gt;=6,'Lógica de Cálculo'!$U$7&gt;=5),"x"," ")</f>
        <v>x</v>
      </c>
      <c r="V9" s="75" t="str">
        <f>IF(AND('Lógica de Cálculo'!$U$6&gt;=6,'Lógica de Cálculo'!$U$7&gt;=6),"x"," ")</f>
        <v>x</v>
      </c>
      <c r="W9" s="75" t="str">
        <f>IF(AND('Lógica de Cálculo'!$U$6&gt;=6,'Lógica de Cálculo'!$U$7&gt;=7),"x"," ")</f>
        <v>x</v>
      </c>
      <c r="X9" s="75" t="str">
        <f>IF(AND('Lógica de Cálculo'!$U$6&gt;=6,'Lógica de Cálculo'!$U$7&gt;=8),"x"," ")</f>
        <v> </v>
      </c>
      <c r="Y9" s="75" t="str">
        <f>IF(AND('Lógica de Cálculo'!$U$6&gt;=6,'Lógica de Cálculo'!$U$7&gt;=9),"x"," ")</f>
        <v> </v>
      </c>
      <c r="Z9" s="78" t="str">
        <f>IF(AND('Lógica de Cálculo'!$U$6&gt;=6,'Lógica de Cálculo'!$U$7&gt;=10),"x"," ")</f>
        <v> </v>
      </c>
      <c r="AA9" s="6">
        <v>5</v>
      </c>
    </row>
    <row r="10" spans="2:27" ht="31.5" customHeight="1" thickBot="1">
      <c r="B10" s="27"/>
      <c r="C10" s="27"/>
      <c r="F10" s="1">
        <v>6</v>
      </c>
      <c r="G10" s="74" t="str">
        <f>IF(AND('Lógica de Cálculo'!$U$6&gt;=5,'Lógica de Cálculo'!$U$9&gt;=10),"x"," ")</f>
        <v> </v>
      </c>
      <c r="H10" s="75" t="str">
        <f>IF(AND('Lógica de Cálculo'!$U$6&gt;=5,'Lógica de Cálculo'!$U$9&gt;=9),"x"," ")</f>
        <v> </v>
      </c>
      <c r="I10" s="75" t="str">
        <f>IF(AND('Lógica de Cálculo'!$U$6&gt;=5,'Lógica de Cálculo'!$U$9&gt;=8),"x"," ")</f>
        <v> </v>
      </c>
      <c r="J10" s="75" t="str">
        <f>IF(AND('Lógica de Cálculo'!$U$6&gt;=5,'Lógica de Cálculo'!$U$9&gt;=7),"x"," ")</f>
        <v> </v>
      </c>
      <c r="K10" s="75" t="str">
        <f>IF(AND('Lógica de Cálculo'!$U$6&gt;=5,'Lógica de Cálculo'!$U$9&gt;=6),"x"," ")</f>
        <v>x</v>
      </c>
      <c r="L10" s="75" t="str">
        <f>IF(AND('Lógica de Cálculo'!$U$6&gt;=5,'Lógica de Cálculo'!$U$9&gt;=5),"x"," ")</f>
        <v>x</v>
      </c>
      <c r="M10" s="75" t="str">
        <f>IF(AND('Lógica de Cálculo'!$U$6&gt;=5,'Lógica de Cálculo'!$U$9&gt;=4),"x"," ")</f>
        <v>x</v>
      </c>
      <c r="N10" s="75" t="str">
        <f>IF(AND('Lógica de Cálculo'!$U$6&gt;=5,'Lógica de Cálculo'!$U$9&gt;=3),"x"," ")</f>
        <v>x</v>
      </c>
      <c r="O10" s="75" t="str">
        <f>IF(AND('Lógica de Cálculo'!$U$6&gt;=5,'Lógica de Cálculo'!$U$9&gt;=2),"x"," ")</f>
        <v>x</v>
      </c>
      <c r="P10" s="76" t="str">
        <f>IF(AND('Lógica de Cálculo'!$U$6&gt;=5,'Lógica de Cálculo'!$U$9&gt;=1),"x","30")</f>
        <v>x</v>
      </c>
      <c r="Q10" s="77" t="str">
        <f>IF(AND('Lógica de Cálculo'!$U$6&gt;=5,'Lógica de Cálculo'!$U$7&gt;=1),"x","70 ")</f>
        <v>x</v>
      </c>
      <c r="R10" s="75" t="str">
        <f>IF(AND('Lógica de Cálculo'!$U$6&gt;=5,'Lógica de Cálculo'!$U$7&gt;=2),"x"," ")</f>
        <v>x</v>
      </c>
      <c r="S10" s="75" t="str">
        <f>IF(AND('Lógica de Cálculo'!$U$6&gt;=5,'Lógica de Cálculo'!$U$7&gt;=3),"x"," ")</f>
        <v>x</v>
      </c>
      <c r="T10" s="75" t="str">
        <f>IF(AND('Lógica de Cálculo'!$U$6&gt;=5,'Lógica de Cálculo'!$U$7&gt;=4),"x"," ")</f>
        <v>x</v>
      </c>
      <c r="U10" s="75" t="str">
        <f>IF(AND('Lógica de Cálculo'!$U$6&gt;=5,'Lógica de Cálculo'!$U$7&gt;=5),"x"," ")</f>
        <v>x</v>
      </c>
      <c r="V10" s="75" t="str">
        <f>IF(AND('Lógica de Cálculo'!$U$6&gt;=5,'Lógica de Cálculo'!$U$7&gt;=6),"x"," ")</f>
        <v>x</v>
      </c>
      <c r="W10" s="75" t="str">
        <f>IF(AND('Lógica de Cálculo'!$U$6&gt;=5,'Lógica de Cálculo'!$U$7&gt;=7),"x"," ")</f>
        <v>x</v>
      </c>
      <c r="X10" s="75" t="str">
        <f>IF(AND('Lógica de Cálculo'!$U$6&gt;=5,'Lógica de Cálculo'!$U$7&gt;=8),"x"," ")</f>
        <v> </v>
      </c>
      <c r="Y10" s="75" t="str">
        <f>IF(AND('Lógica de Cálculo'!$U$6&gt;=5,'Lógica de Cálculo'!$U$7&gt;=9),"x"," ")</f>
        <v> </v>
      </c>
      <c r="Z10" s="78" t="str">
        <f>IF(AND('Lógica de Cálculo'!$U$6&gt;=5,'Lógica de Cálculo'!$U$7&gt;=10),"x"," ")</f>
        <v> </v>
      </c>
      <c r="AA10" s="6">
        <v>6</v>
      </c>
    </row>
    <row r="11" spans="2:27" ht="31.5" customHeight="1">
      <c r="B11" s="180" t="s">
        <v>48</v>
      </c>
      <c r="C11" s="129">
        <f>'Lógica de Cálculo'!U16</f>
        <v>143</v>
      </c>
      <c r="F11" s="1">
        <v>7</v>
      </c>
      <c r="G11" s="74" t="str">
        <f>IF(AND('Lógica de Cálculo'!$U$6&gt;=4,'Lógica de Cálculo'!$U$9&gt;=10),"x"," ")</f>
        <v> </v>
      </c>
      <c r="H11" s="75" t="str">
        <f>IF(AND('Lógica de Cálculo'!$U$6&gt;=4,'Lógica de Cálculo'!$U$9&gt;=9),"x"," ")</f>
        <v> </v>
      </c>
      <c r="I11" s="75" t="str">
        <f>IF(AND('Lógica de Cálculo'!$U$6&gt;=4,'Lógica de Cálculo'!$U$9&gt;=8),"x"," ")</f>
        <v> </v>
      </c>
      <c r="J11" s="75" t="str">
        <f>IF(AND('Lógica de Cálculo'!$U$6&gt;=4,'Lógica de Cálculo'!$U$9&gt;=7),"x"," ")</f>
        <v> </v>
      </c>
      <c r="K11" s="75" t="str">
        <f>IF(AND('Lógica de Cálculo'!$U$6&gt;=4,'Lógica de Cálculo'!$U$9&gt;=6),"x"," ")</f>
        <v>x</v>
      </c>
      <c r="L11" s="75" t="str">
        <f>IF(AND('Lógica de Cálculo'!$U$6&gt;=4,'Lógica de Cálculo'!$U$9&gt;=5),"x"," ")</f>
        <v>x</v>
      </c>
      <c r="M11" s="75" t="str">
        <f>IF(AND('Lógica de Cálculo'!$U$6&gt;=4,'Lógica de Cálculo'!$U$9&gt;=4),"x"," ")</f>
        <v>x</v>
      </c>
      <c r="N11" s="75" t="str">
        <f>IF(AND('Lógica de Cálculo'!$U$6&gt;=4,'Lógica de Cálculo'!$U$9&gt;=3),"x"," ")</f>
        <v>x</v>
      </c>
      <c r="O11" s="75" t="str">
        <f>IF(AND('Lógica de Cálculo'!$U$6&gt;=4,'Lógica de Cálculo'!$U$9&gt;=2),"x"," ")</f>
        <v>x</v>
      </c>
      <c r="P11" s="76" t="str">
        <f>IF(AND('Lógica de Cálculo'!$U$6&gt;=4,'Lógica de Cálculo'!$U$9&gt;=1),"x","27")</f>
        <v>x</v>
      </c>
      <c r="Q11" s="77" t="str">
        <f>IF(AND('Lógica de Cálculo'!$U$6&gt;=4,'Lógica de Cálculo'!$U$7&gt;=1),"x","75 ")</f>
        <v>x</v>
      </c>
      <c r="R11" s="75" t="str">
        <f>IF(AND('Lógica de Cálculo'!$U$6&gt;=4,'Lógica de Cálculo'!$U$7&gt;=2),"x"," ")</f>
        <v>x</v>
      </c>
      <c r="S11" s="75" t="str">
        <f>IF(AND('Lógica de Cálculo'!$U$6&gt;=4,'Lógica de Cálculo'!$U$7&gt;=3),"x"," ")</f>
        <v>x</v>
      </c>
      <c r="T11" s="75" t="str">
        <f>IF(AND('Lógica de Cálculo'!$U$6&gt;=4,'Lógica de Cálculo'!$U$7&gt;=4),"x"," ")</f>
        <v>x</v>
      </c>
      <c r="U11" s="75" t="str">
        <f>IF(AND('Lógica de Cálculo'!$U$6&gt;=4,'Lógica de Cálculo'!$U$7&gt;=5),"x"," ")</f>
        <v>x</v>
      </c>
      <c r="V11" s="75" t="str">
        <f>IF(AND('Lógica de Cálculo'!$U$6&gt;=4,'Lógica de Cálculo'!$U$7&gt;=6),"x"," ")</f>
        <v>x</v>
      </c>
      <c r="W11" s="75" t="str">
        <f>IF(AND('Lógica de Cálculo'!$U$6&gt;=4,'Lógica de Cálculo'!$U$7&gt;=7),"x"," ")</f>
        <v>x</v>
      </c>
      <c r="X11" s="75" t="str">
        <f>IF(AND('Lógica de Cálculo'!$U$6&gt;=4,'Lógica de Cálculo'!$U$7&gt;=8),"x"," ")</f>
        <v> </v>
      </c>
      <c r="Y11" s="75" t="str">
        <f>IF(AND('Lógica de Cálculo'!$U$6&gt;=4,'Lógica de Cálculo'!$U$7&gt;=9),"x"," ")</f>
        <v> </v>
      </c>
      <c r="Z11" s="78" t="str">
        <f>IF(AND('Lógica de Cálculo'!$U$6&gt;=4,'Lógica de Cálculo'!$U$7&gt;=10),"x"," ")</f>
        <v> </v>
      </c>
      <c r="AA11" s="6">
        <v>7</v>
      </c>
    </row>
    <row r="12" spans="2:27" ht="31.5" customHeight="1" thickBot="1">
      <c r="B12" s="181"/>
      <c r="C12" s="130" t="str">
        <f>C11/"400"*"100"&amp;" % do total de 400 possíveis"</f>
        <v>35,75 % do total de 400 possíveis</v>
      </c>
      <c r="F12" s="1">
        <v>8</v>
      </c>
      <c r="G12" s="74" t="str">
        <f>IF(AND('Lógica de Cálculo'!$U$6&gt;=3,'Lógica de Cálculo'!$U$9&gt;=10),"x"," ")</f>
        <v> </v>
      </c>
      <c r="H12" s="75" t="str">
        <f>IF(AND('Lógica de Cálculo'!$U$6&gt;=3,'Lógica de Cálculo'!$U$9&gt;=9),"x"," ")</f>
        <v> </v>
      </c>
      <c r="I12" s="75" t="str">
        <f>IF(AND('Lógica de Cálculo'!$U$6&gt;=3,'Lógica de Cálculo'!$U$9&gt;=8),"x"," ")</f>
        <v> </v>
      </c>
      <c r="J12" s="75" t="str">
        <f>IF(AND('Lógica de Cálculo'!$U$6&gt;=3,'Lógica de Cálculo'!$U$9&gt;=7),"x"," ")</f>
        <v> </v>
      </c>
      <c r="K12" s="75" t="str">
        <f>IF(AND('Lógica de Cálculo'!$U$6&gt;=3,'Lógica de Cálculo'!$U$9&gt;=6),"x"," ")</f>
        <v>x</v>
      </c>
      <c r="L12" s="75" t="str">
        <f>IF(AND('Lógica de Cálculo'!$U$6&gt;=3,'Lógica de Cálculo'!$U$9&gt;=5),"x"," ")</f>
        <v>x</v>
      </c>
      <c r="M12" s="75" t="str">
        <f>IF(AND('Lógica de Cálculo'!$U$6&gt;=3,'Lógica de Cálculo'!$U$9&gt;=4),"x"," ")</f>
        <v>x</v>
      </c>
      <c r="N12" s="75" t="str">
        <f>IF(AND('Lógica de Cálculo'!$U$6&gt;=3,'Lógica de Cálculo'!$U$9&gt;=3),"x"," ")</f>
        <v>x</v>
      </c>
      <c r="O12" s="75" t="str">
        <f>IF(AND('Lógica de Cálculo'!$U$6&gt;=3,'Lógica de Cálculo'!$U$9&gt;=2),"x"," ")</f>
        <v>x</v>
      </c>
      <c r="P12" s="76" t="str">
        <f>IF(AND('Lógica de Cálculo'!$U$6&gt;=3,'Lógica de Cálculo'!$U$9&gt;=1),"x","23")</f>
        <v>x</v>
      </c>
      <c r="Q12" s="77" t="str">
        <f>IF(AND('Lógica de Cálculo'!$U$6&gt;=3,'Lógica de Cálculo'!$U$7&gt;=1),"x","80 ")</f>
        <v>x</v>
      </c>
      <c r="R12" s="75" t="str">
        <f>IF(AND('Lógica de Cálculo'!$U$6&gt;=3,'Lógica de Cálculo'!$U$7&gt;=2),"x"," ")</f>
        <v>x</v>
      </c>
      <c r="S12" s="75" t="str">
        <f>IF(AND('Lógica de Cálculo'!$U$6&gt;=3,'Lógica de Cálculo'!$U$7&gt;=3),"x"," ")</f>
        <v>x</v>
      </c>
      <c r="T12" s="75" t="str">
        <f>IF(AND('Lógica de Cálculo'!$U$6&gt;=3,'Lógica de Cálculo'!$U$7&gt;=4),"x"," ")</f>
        <v>x</v>
      </c>
      <c r="U12" s="75" t="str">
        <f>IF(AND('Lógica de Cálculo'!$U$6&gt;=3,'Lógica de Cálculo'!$U$7&gt;=5),"x"," ")</f>
        <v>x</v>
      </c>
      <c r="V12" s="75" t="str">
        <f>IF(AND('Lógica de Cálculo'!$U$6&gt;=3,'Lógica de Cálculo'!$U$7&gt;=6),"x"," ")</f>
        <v>x</v>
      </c>
      <c r="W12" s="75" t="str">
        <f>IF(AND('Lógica de Cálculo'!$U$6&gt;=3,'Lógica de Cálculo'!$U$7&gt;=7),"x"," ")</f>
        <v>x</v>
      </c>
      <c r="X12" s="75" t="str">
        <f>IF(AND('Lógica de Cálculo'!$U$6&gt;=3,'Lógica de Cálculo'!$U$7&gt;=8),"x"," ")</f>
        <v> </v>
      </c>
      <c r="Y12" s="75" t="str">
        <f>IF(AND('Lógica de Cálculo'!$U$6&gt;=3,'Lógica de Cálculo'!$U$7&gt;=9),"x"," ")</f>
        <v> </v>
      </c>
      <c r="Z12" s="78" t="str">
        <f>IF(AND('Lógica de Cálculo'!$U$6&gt;=3,'Lógica de Cálculo'!$U$7&gt;=10),"x"," ")</f>
        <v> </v>
      </c>
      <c r="AA12" s="6">
        <v>8</v>
      </c>
    </row>
    <row r="13" spans="2:28" ht="31.5" customHeight="1" thickBot="1">
      <c r="B13" s="183" t="str">
        <f>IF(C11&lt;150,"CLIENTE COM FRACO POTENCIAL DE CONSUMO",IF(C11&lt;251,"CLIENTE COM MÉDIO POTENCIAL DE CONSUMO","CLIENTE COM ALTO POTENCIAL DE CONSUMO"))</f>
        <v>CLIENTE COM FRACO POTENCIAL DE CONSUMO</v>
      </c>
      <c r="C13" s="184"/>
      <c r="E13" s="185" t="s">
        <v>26</v>
      </c>
      <c r="F13" s="1">
        <v>9</v>
      </c>
      <c r="G13" s="74" t="str">
        <f>IF(AND('Lógica de Cálculo'!$U$6&gt;=2,'Lógica de Cálculo'!$U$9&gt;=10),"x"," ")</f>
        <v> </v>
      </c>
      <c r="H13" s="75" t="str">
        <f>IF(AND('Lógica de Cálculo'!$U$6&gt;=2,'Lógica de Cálculo'!$U$9&gt;=9),"x"," ")</f>
        <v> </v>
      </c>
      <c r="I13" s="75" t="str">
        <f>IF(AND('Lógica de Cálculo'!$U$6&gt;=2,'Lógica de Cálculo'!$U$9&gt;=8),"x"," ")</f>
        <v> </v>
      </c>
      <c r="J13" s="75" t="str">
        <f>IF(AND('Lógica de Cálculo'!$U$6&gt;=2,'Lógica de Cálculo'!$U$9&gt;=7),"x"," ")</f>
        <v> </v>
      </c>
      <c r="K13" s="75" t="str">
        <f>IF(AND('Lógica de Cálculo'!$U$6&gt;=2,'Lógica de Cálculo'!$U$9&gt;=6),"x"," ")</f>
        <v>x</v>
      </c>
      <c r="L13" s="75" t="str">
        <f>IF(AND('Lógica de Cálculo'!$U$6&gt;=2,'Lógica de Cálculo'!$U$9&gt;=5),"x"," ")</f>
        <v>x</v>
      </c>
      <c r="M13" s="75" t="str">
        <f>IF(AND('Lógica de Cálculo'!$U$6&gt;=2,'Lógica de Cálculo'!$U$9&gt;=4),"x"," ")</f>
        <v>x</v>
      </c>
      <c r="N13" s="75" t="str">
        <f>IF(AND('Lógica de Cálculo'!$U$6&gt;=2,'Lógica de Cálculo'!$U$9&gt;=3),"x"," ")</f>
        <v>x</v>
      </c>
      <c r="O13" s="75" t="str">
        <f>IF(AND('Lógica de Cálculo'!$U$6&gt;=2,'Lógica de Cálculo'!$U$9&gt;=2),"x"," ")</f>
        <v>x</v>
      </c>
      <c r="P13" s="79" t="str">
        <f>IF(AND('Lógica de Cálculo'!$U$6&gt;=2,'Lógica de Cálculo'!$U$9&gt;=1),"x","18")</f>
        <v>x</v>
      </c>
      <c r="Q13" s="80" t="str">
        <f>IF(AND('Lógica de Cálculo'!$U$6&gt;=2,'Lógica de Cálculo'!$U$7&gt;=1),"x","90")</f>
        <v>x</v>
      </c>
      <c r="R13" s="75" t="str">
        <f>IF(AND('Lógica de Cálculo'!$U$6&gt;=2,'Lógica de Cálculo'!$U$7&gt;=2),"x"," ")</f>
        <v>x</v>
      </c>
      <c r="S13" s="75" t="str">
        <f>IF(AND('Lógica de Cálculo'!$U$6&gt;=2,'Lógica de Cálculo'!$U$7&gt;=3),"x"," ")</f>
        <v>x</v>
      </c>
      <c r="T13" s="75" t="str">
        <f>IF(AND('Lógica de Cálculo'!$U$6&gt;=2,'Lógica de Cálculo'!$U$7&gt;=4),"x"," ")</f>
        <v>x</v>
      </c>
      <c r="U13" s="75" t="str">
        <f>IF(AND('Lógica de Cálculo'!$U$6&gt;=2,'Lógica de Cálculo'!$U$7&gt;=5),"x"," ")</f>
        <v>x</v>
      </c>
      <c r="V13" s="75" t="str">
        <f>IF(AND('Lógica de Cálculo'!$U$6&gt;=2,'Lógica de Cálculo'!$U$7&gt;=6),"x"," ")</f>
        <v>x</v>
      </c>
      <c r="W13" s="75" t="str">
        <f>IF(AND('Lógica de Cálculo'!$U$6&gt;=2,'Lógica de Cálculo'!$U$7&gt;=7),"x"," ")</f>
        <v>x</v>
      </c>
      <c r="X13" s="75" t="str">
        <f>IF(AND('Lógica de Cálculo'!$U$6&gt;=2,'Lógica de Cálculo'!$U$7&gt;=8),"x"," ")</f>
        <v> </v>
      </c>
      <c r="Y13" s="75" t="str">
        <f>IF(AND('Lógica de Cálculo'!$U$6&gt;=2,'Lógica de Cálculo'!$U$7&gt;=9),"x"," ")</f>
        <v> </v>
      </c>
      <c r="Z13" s="78" t="str">
        <f>IF(AND('Lógica de Cálculo'!$U$6&gt;=2,'Lógica de Cálculo'!$U$7&gt;=10),"x"," ")</f>
        <v> </v>
      </c>
      <c r="AA13" s="6">
        <v>9</v>
      </c>
      <c r="AB13" s="178" t="s">
        <v>20</v>
      </c>
    </row>
    <row r="14" spans="2:28" ht="31.5" customHeight="1" thickBot="1">
      <c r="B14" s="27"/>
      <c r="C14" s="27"/>
      <c r="E14" s="185"/>
      <c r="F14" s="1">
        <v>10</v>
      </c>
      <c r="G14" s="81" t="str">
        <f>IF(AND('Lógica de Cálculo'!$U$6&gt;=1,'Lógica de Cálculo'!$U$9&gt;=10),"x"," ")</f>
        <v> </v>
      </c>
      <c r="H14" s="82" t="str">
        <f>IF(AND('Lógica de Cálculo'!$U$6&gt;=1,'Lógica de Cálculo'!$U$9&gt;=9),"x"," ")</f>
        <v> </v>
      </c>
      <c r="I14" s="82" t="str">
        <f>IF(AND('Lógica de Cálculo'!$U$6&gt;=1,'Lógica de Cálculo'!$U$9&gt;=8),"x"," ")</f>
        <v> </v>
      </c>
      <c r="J14" s="82" t="str">
        <f>IF(AND('Lógica de Cálculo'!$U$6&gt;=1,'Lógica de Cálculo'!$U$9&gt;=7),"x"," ")</f>
        <v> </v>
      </c>
      <c r="K14" s="82" t="str">
        <f>IF(AND('Lógica de Cálculo'!$U$6&gt;=1,'Lógica de Cálculo'!$U$9&gt;=6),"x"," ")</f>
        <v>x</v>
      </c>
      <c r="L14" s="82" t="str">
        <f>IF(AND('Lógica de Cálculo'!$U$6&gt;=1,'Lógica de Cálculo'!$U$9&gt;=5),"x"," ")</f>
        <v>x</v>
      </c>
      <c r="M14" s="82" t="str">
        <f>IF(AND('Lógica de Cálculo'!$U$6&gt;=1,'Lógica de Cálculo'!$U$9&gt;=4),"x"," ")</f>
        <v>x</v>
      </c>
      <c r="N14" s="82" t="str">
        <f>IF(AND('Lógica de Cálculo'!$U$6&gt;=1,'Lógica de Cálculo'!$U$9&gt;=3),"x"," ")</f>
        <v>x</v>
      </c>
      <c r="O14" s="82" t="str">
        <f>IF(AND('Lógica de Cálculo'!$U$6&gt;=1,'Lógica de Cálculo'!$U$9&gt;=2),"x"," ")</f>
        <v>x</v>
      </c>
      <c r="P14" s="83" t="str">
        <f>IF(AND('Lógica de Cálculo'!$U$6&gt;=1,'Lógica de Cálculo'!$U$9&gt;=1),"x","18")</f>
        <v>x</v>
      </c>
      <c r="Q14" s="84" t="str">
        <f>IF(AND('Lógica de Cálculo'!$U$6&gt;=1,'Lógica de Cálculo'!$U$7&gt;=1),"x"," ")</f>
        <v>x</v>
      </c>
      <c r="R14" s="85" t="str">
        <f>IF(AND('Lógica de Cálculo'!$U$6&gt;=2,'Lógica de Cálculo'!$U$7&gt;=2),"x","500,00 ")</f>
        <v>x</v>
      </c>
      <c r="S14" s="86" t="str">
        <f>IF(AND('Lógica de Cálculo'!$U$6&gt;=2,'Lógica de Cálculo'!$U$7&gt;=3),"x","1.000,00 ")</f>
        <v>x</v>
      </c>
      <c r="T14" s="86" t="str">
        <f>IF(AND('Lógica de Cálculo'!$U$6&gt;=2,'Lógica de Cálculo'!$U$7&gt;=4),"x","1.500,00 ")</f>
        <v>x</v>
      </c>
      <c r="U14" s="86" t="str">
        <f>IF(AND('Lógica de Cálculo'!$U$6&gt;=2,'Lógica de Cálculo'!$U$7&gt;=5),"x","2.000,00 ")</f>
        <v>x</v>
      </c>
      <c r="V14" s="86" t="str">
        <f>IF(AND('Lógica de Cálculo'!$U$6&gt;=2,'Lógica de Cálculo'!$U$7&gt;=6),"x","3.000,00 ")</f>
        <v>x</v>
      </c>
      <c r="W14" s="86" t="str">
        <f>IF(AND('Lógica de Cálculo'!$U$6&gt;=2,'Lógica de Cálculo'!$U$7&gt;=7),"x","4.000,00 ")</f>
        <v>x</v>
      </c>
      <c r="X14" s="86" t="str">
        <f>IF(AND('Lógica de Cálculo'!$U$6&gt;=2,'Lógica de Cálculo'!$U$7&gt;=8),"x","6.000,00 ")</f>
        <v>6.000,00 </v>
      </c>
      <c r="Y14" s="86" t="str">
        <f>IF(AND('Lógica de Cálculo'!$U$6&gt;=2,'Lógica de Cálculo'!$U$7&gt;=9),"x","9.000,00 ")</f>
        <v>9.000,00 </v>
      </c>
      <c r="Z14" s="87" t="str">
        <f>IF(AND('Lógica de Cálculo'!$U$6&gt;=1,'Lógica de Cálculo'!$U$7&gt;=10),"x","+ 9.000,00")</f>
        <v>+ 9.000,00</v>
      </c>
      <c r="AA14" s="6">
        <v>10</v>
      </c>
      <c r="AB14" s="178"/>
    </row>
    <row r="15" spans="5:28" ht="31.5" customHeight="1">
      <c r="E15" s="185"/>
      <c r="F15" s="1">
        <v>11</v>
      </c>
      <c r="G15" s="88" t="str">
        <f>IF(AND('Lógica de Cálculo'!$U$8&gt;=1,'Lógica de Cálculo'!$U$9&gt;=10),"x","CASADO + 2 FILHOS")</f>
        <v>CASADO + 2 FILHOS</v>
      </c>
      <c r="H15" s="89" t="str">
        <f>IF(AND('Lógica de Cálculo'!$U$8&gt;=1,'Lógica de Cálculo'!$U$9&gt;=9),"x","CASADO 2 FILHOS")</f>
        <v>CASADO 2 FILHOS</v>
      </c>
      <c r="I15" s="89" t="str">
        <f>IF(AND('Lógica de Cálculo'!$U$8&gt;=1,'Lógica de Cálculo'!$U$9&gt;=8),"x","OUTROS  2 OU + FILHOS")</f>
        <v>OUTROS  2 OU + FILHOS</v>
      </c>
      <c r="J15" s="89" t="str">
        <f>IF(AND('Lógica de Cálculo'!$U$8&gt;=1,'Lógica de Cálculo'!$U$9&gt;=7),"x","CASADO 1 FILHO")</f>
        <v>CASADO 1 FILHO</v>
      </c>
      <c r="K15" s="89" t="str">
        <f>IF(AND('Lógica de Cálculo'!$U$8&gt;=1,'Lógica de Cálculo'!$U$9&gt;=6),"x","OUTROS 1 FILHO")</f>
        <v>x</v>
      </c>
      <c r="L15" s="89" t="str">
        <f>IF(AND('Lógica de Cálculo'!$U$8&gt;=1,'Lógica de Cálculo'!$U$9&gt;=5),"x","CASADO S/ FILHO")</f>
        <v>x</v>
      </c>
      <c r="M15" s="89" t="str">
        <f>IF(AND('Lógica de Cálculo'!$U$8&gt;=1,'Lógica de Cálculo'!$U$9&gt;=4),"x"," ")</f>
        <v>x</v>
      </c>
      <c r="N15" s="89" t="str">
        <f>IF(AND('Lógica de Cálculo'!$U$8&gt;=1,'Lógica de Cálculo'!$U$9&gt;=3),"x","OUTROS S/ FILHOS ")</f>
        <v>x</v>
      </c>
      <c r="O15" s="90" t="str">
        <f>IF(AND('Lógica de Cálculo'!$U$8&gt;=1,'Lógica de Cálculo'!$U$9&gt;=2),"x","SOLTEIRO ")</f>
        <v>x</v>
      </c>
      <c r="P15" s="73" t="str">
        <f>IF(AND('Lógica de Cálculo'!$U$8&gt;=1,'Lógica de Cálculo'!$U$9&gt;=1),"x"," ")</f>
        <v>x</v>
      </c>
      <c r="Q15" s="69" t="str">
        <f>IF(AND('Lógica de Cálculo'!$U$8&gt;=1,'Lógica de Cálculo'!$U$7&gt;=1),"x"," ")</f>
        <v>x</v>
      </c>
      <c r="R15" s="70" t="str">
        <f>IF(AND('Lógica de Cálculo'!$U$8&gt;=1,'Lógica de Cálculo'!$U$7&gt;=2),"x"," ")</f>
        <v>x</v>
      </c>
      <c r="S15" s="70" t="str">
        <f>IF(AND('Lógica de Cálculo'!$U$8&gt;=1,'Lógica de Cálculo'!$U$7&gt;=3),"x"," ")</f>
        <v>x</v>
      </c>
      <c r="T15" s="70" t="str">
        <f>IF(AND('Lógica de Cálculo'!$U$8&gt;=1,'Lógica de Cálculo'!$U$7&gt;=4),"x"," ")</f>
        <v>x</v>
      </c>
      <c r="U15" s="70" t="str">
        <f>IF(AND('Lógica de Cálculo'!$U$8&gt;=1,'Lógica de Cálculo'!$U$7&gt;=5),"x"," ")</f>
        <v>x</v>
      </c>
      <c r="V15" s="70" t="str">
        <f>IF(AND('Lógica de Cálculo'!$U$8&gt;=1,'Lógica de Cálculo'!$U$7&gt;=6),"x"," ")</f>
        <v>x</v>
      </c>
      <c r="W15" s="70" t="str">
        <f>IF(AND('Lógica de Cálculo'!$U$8&gt;=1,'Lógica de Cálculo'!$U$7&gt;=7),"x"," ")</f>
        <v>x</v>
      </c>
      <c r="X15" s="70" t="str">
        <f>IF(AND('Lógica de Cálculo'!$U$8&gt;=1,'Lógica de Cálculo'!$U$7&gt;=8),"x"," ")</f>
        <v> </v>
      </c>
      <c r="Y15" s="70" t="str">
        <f>IF(AND('Lógica de Cálculo'!$U$8&gt;=1,'Lógica de Cálculo'!$U$7&gt;=9),"x"," ")</f>
        <v> </v>
      </c>
      <c r="Z15" s="91" t="str">
        <f>IF(AND('Lógica de Cálculo'!$U$8&gt;=1,'Lógica de Cálculo'!$U$7&gt;=10),"x"," ")</f>
        <v> </v>
      </c>
      <c r="AA15" s="6">
        <v>11</v>
      </c>
      <c r="AB15" s="178"/>
    </row>
    <row r="16" spans="5:28" ht="31.5" customHeight="1">
      <c r="E16" s="185"/>
      <c r="F16" s="1">
        <v>12</v>
      </c>
      <c r="G16" s="92" t="str">
        <f>IF(AND('Lógica de Cálculo'!$U$8&gt;=2,'Lógica de Cálculo'!$U$9&gt;=10),"x"," ")</f>
        <v> </v>
      </c>
      <c r="H16" s="93" t="str">
        <f>IF(AND('Lógica de Cálculo'!$U$8&gt;=2,'Lógica de Cálculo'!$U$9&gt;=9),"x"," ")</f>
        <v> </v>
      </c>
      <c r="I16" s="93" t="str">
        <f>IF(AND('Lógica de Cálculo'!$U$8&gt;=2,'Lógica de Cálculo'!$U$9&gt;=8),"x"," ")</f>
        <v> </v>
      </c>
      <c r="J16" s="93" t="str">
        <f>IF(AND('Lógica de Cálculo'!$U$8&gt;=2,'Lógica de Cálculo'!$U$9&gt;=7),"x"," ")</f>
        <v> </v>
      </c>
      <c r="K16" s="93" t="str">
        <f>IF(AND('Lógica de Cálculo'!$U$8&gt;=2,'Lógica de Cálculo'!$U$9&gt;=6),"x"," ")</f>
        <v>x</v>
      </c>
      <c r="L16" s="93" t="str">
        <f>IF(AND('Lógica de Cálculo'!$U$8&gt;=2,'Lógica de Cálculo'!$U$9&gt;=5),"x"," ")</f>
        <v>x</v>
      </c>
      <c r="M16" s="93" t="str">
        <f>IF(AND('Lógica de Cálculo'!$U$8&gt;=2,'Lógica de Cálculo'!$U$9&gt;=4),"x"," ")</f>
        <v>x</v>
      </c>
      <c r="N16" s="93" t="str">
        <f>IF(AND('Lógica de Cálculo'!$U$8&gt;=2,'Lógica de Cálculo'!$U$9&gt;=3),"x"," ")</f>
        <v>x</v>
      </c>
      <c r="O16" s="93" t="str">
        <f>IF(AND('Lógica de Cálculo'!$U$8&gt;=2,'Lógica de Cálculo'!$U$9&gt;=2),"x"," ")</f>
        <v>x</v>
      </c>
      <c r="P16" s="94" t="str">
        <f>IF(AND('Lógica de Cálculo'!$U$8&gt;=2,'Lógica de Cálculo'!$U$9&gt;=1),"x","1º GRÁU COMPLETO")</f>
        <v>x</v>
      </c>
      <c r="Q16" s="74" t="str">
        <f>IF(AND('Lógica de Cálculo'!$U$8&gt;=2,'Lógica de Cálculo'!$U$7&gt;=1),"x"," ")</f>
        <v>x</v>
      </c>
      <c r="R16" s="75" t="str">
        <f>IF(AND('Lógica de Cálculo'!$U$8&gt;=2,'Lógica de Cálculo'!$U$7&gt;=2),"x"," ")</f>
        <v>x</v>
      </c>
      <c r="S16" s="75" t="str">
        <f>IF(AND('Lógica de Cálculo'!$U$8&gt;=2,'Lógica de Cálculo'!$U$7&gt;=3),"x"," ")</f>
        <v>x</v>
      </c>
      <c r="T16" s="75" t="str">
        <f>IF(AND('Lógica de Cálculo'!$U$8&gt;=2,'Lógica de Cálculo'!$U$7&gt;=4),"x"," ")</f>
        <v>x</v>
      </c>
      <c r="U16" s="75" t="str">
        <f>IF(AND('Lógica de Cálculo'!$U$8&gt;=2,'Lógica de Cálculo'!$U$7&gt;=5),"x"," ")</f>
        <v>x</v>
      </c>
      <c r="V16" s="75" t="str">
        <f>IF(AND('Lógica de Cálculo'!$U$8&gt;=2,'Lógica de Cálculo'!$U$7&gt;=6),"x"," ")</f>
        <v>x</v>
      </c>
      <c r="W16" s="75" t="str">
        <f>IF(AND('Lógica de Cálculo'!$U$8&gt;=2,'Lógica de Cálculo'!$U$7&gt;=7),"x"," ")</f>
        <v>x</v>
      </c>
      <c r="X16" s="75" t="str">
        <f>IF(AND('Lógica de Cálculo'!$U$8&gt;=2,'Lógica de Cálculo'!$U$7&gt;=8),"x"," ")</f>
        <v> </v>
      </c>
      <c r="Y16" s="75" t="str">
        <f>IF(AND('Lógica de Cálculo'!$U$8&gt;=2,'Lógica de Cálculo'!$U$7&gt;=9),"x"," ")</f>
        <v> </v>
      </c>
      <c r="Z16" s="91" t="str">
        <f>IF(AND('Lógica de Cálculo'!$U$8&gt;=2,'Lógica de Cálculo'!$U$7&gt;=10),"x"," ")</f>
        <v> </v>
      </c>
      <c r="AA16" s="6">
        <v>12</v>
      </c>
      <c r="AB16" s="178"/>
    </row>
    <row r="17" spans="6:27" ht="31.5" customHeight="1">
      <c r="F17" s="1">
        <v>13</v>
      </c>
      <c r="G17" s="74" t="str">
        <f>IF(AND('Lógica de Cálculo'!$U$8&gt;=3,'Lógica de Cálculo'!$U$9&gt;=10),"x"," ")</f>
        <v> </v>
      </c>
      <c r="H17" s="75" t="str">
        <f>IF(AND('Lógica de Cálculo'!$U$8&gt;=3,'Lógica de Cálculo'!$U$9&gt;=9),"x"," ")</f>
        <v> </v>
      </c>
      <c r="I17" s="75" t="str">
        <f>IF(AND('Lógica de Cálculo'!$U$8&gt;=3,'Lógica de Cálculo'!$U$9&gt;=8),"x"," ")</f>
        <v> </v>
      </c>
      <c r="J17" s="75" t="str">
        <f>IF(AND('Lógica de Cálculo'!$U$8&gt;=3,'Lógica de Cálculo'!$U$9&gt;=7),"x"," ")</f>
        <v> </v>
      </c>
      <c r="K17" s="75" t="str">
        <f>IF(AND('Lógica de Cálculo'!$U$8&gt;=3,'Lógica de Cálculo'!$U$9&gt;=6),"x"," ")</f>
        <v>x</v>
      </c>
      <c r="L17" s="75" t="str">
        <f>IF(AND('Lógica de Cálculo'!$U$8&gt;=3,'Lógica de Cálculo'!$U$9&gt;=5),"x"," ")</f>
        <v>x</v>
      </c>
      <c r="M17" s="75" t="str">
        <f>IF(AND('Lógica de Cálculo'!$U$8&gt;=3,'Lógica de Cálculo'!$U$9&gt;=4),"x"," ")</f>
        <v>x</v>
      </c>
      <c r="N17" s="75" t="str">
        <f>IF(AND('Lógica de Cálculo'!$U$8&gt;=3,'Lógica de Cálculo'!$U$9&gt;=3),"x"," ")</f>
        <v>x</v>
      </c>
      <c r="O17" s="75" t="str">
        <f>IF(AND('Lógica de Cálculo'!$U$8&gt;=3,'Lógica de Cálculo'!$U$9&gt;=2),"x"," ")</f>
        <v>x</v>
      </c>
      <c r="P17" s="95" t="str">
        <f>IF(AND('Lógica de Cálculo'!$U$8&gt;=3,'Lógica de Cálculo'!$U$9&gt;=1),"x","1º GRÁU COMPLETO")</f>
        <v>x</v>
      </c>
      <c r="Q17" s="74" t="str">
        <f>IF(AND('Lógica de Cálculo'!$U$8&gt;=3,'Lógica de Cálculo'!$U$7&gt;=1),"x"," ")</f>
        <v>x</v>
      </c>
      <c r="R17" s="75" t="str">
        <f>IF(AND('Lógica de Cálculo'!$U$8&gt;=3,'Lógica de Cálculo'!$U$7&gt;=2),"x"," ")</f>
        <v>x</v>
      </c>
      <c r="S17" s="75" t="str">
        <f>IF(AND('Lógica de Cálculo'!$U$8&gt;=3,'Lógica de Cálculo'!$U$7&gt;=3),"x"," ")</f>
        <v>x</v>
      </c>
      <c r="T17" s="75" t="str">
        <f>IF(AND('Lógica de Cálculo'!$U$8&gt;=3,'Lógica de Cálculo'!$U$7&gt;=4),"x"," ")</f>
        <v>x</v>
      </c>
      <c r="U17" s="75" t="str">
        <f>IF(AND('Lógica de Cálculo'!$U$8&gt;=3,'Lógica de Cálculo'!$U$7&gt;=5),"x"," ")</f>
        <v>x</v>
      </c>
      <c r="V17" s="75" t="str">
        <f>IF(AND('Lógica de Cálculo'!$U$8&gt;=3,'Lógica de Cálculo'!$U$7&gt;=6),"x"," ")</f>
        <v>x</v>
      </c>
      <c r="W17" s="75" t="str">
        <f>IF(AND('Lógica de Cálculo'!$U$8&gt;=3,'Lógica de Cálculo'!$U$7&gt;=7),"x"," ")</f>
        <v>x</v>
      </c>
      <c r="X17" s="75" t="str">
        <f>IF(AND('Lógica de Cálculo'!$U$8&gt;=3,'Lógica de Cálculo'!$U$7&gt;=8),"x"," ")</f>
        <v> </v>
      </c>
      <c r="Y17" s="75" t="str">
        <f>IF(AND('Lógica de Cálculo'!$U$8&gt;=3,'Lógica de Cálculo'!$U$7&gt;=9),"x"," ")</f>
        <v> </v>
      </c>
      <c r="Z17" s="78" t="str">
        <f>IF(AND('Lógica de Cálculo'!$U$8&gt;=3,'Lógica de Cálculo'!$U$7&gt;=10),"x"," ")</f>
        <v> </v>
      </c>
      <c r="AA17" s="6">
        <v>13</v>
      </c>
    </row>
    <row r="18" spans="6:27" ht="31.5" customHeight="1">
      <c r="F18" s="1">
        <v>14</v>
      </c>
      <c r="G18" s="74" t="str">
        <f>IF(AND('Lógica de Cálculo'!$U$8&gt;=4,'Lógica de Cálculo'!$U$9&gt;=10),"x"," ")</f>
        <v> </v>
      </c>
      <c r="H18" s="75" t="str">
        <f>IF(AND('Lógica de Cálculo'!$U$8&gt;=4,'Lógica de Cálculo'!$U$9&gt;=9),"x"," ")</f>
        <v> </v>
      </c>
      <c r="I18" s="75" t="str">
        <f>IF(AND('Lógica de Cálculo'!$U$8&gt;=4,'Lógica de Cálculo'!$U$9&gt;=8),"x"," ")</f>
        <v> </v>
      </c>
      <c r="J18" s="75" t="str">
        <f>IF(AND('Lógica de Cálculo'!$U$8&gt;=4,'Lógica de Cálculo'!$U$9&gt;=7),"x"," ")</f>
        <v> </v>
      </c>
      <c r="K18" s="75" t="str">
        <f>IF(AND('Lógica de Cálculo'!$U$8&gt;=4,'Lógica de Cálculo'!$U$9&gt;=6),"x"," ")</f>
        <v>x</v>
      </c>
      <c r="L18" s="75" t="str">
        <f>IF(AND('Lógica de Cálculo'!$U$8&gt;=4,'Lógica de Cálculo'!$U$9&gt;=5),"x"," ")</f>
        <v>x</v>
      </c>
      <c r="M18" s="75" t="str">
        <f>IF(AND('Lógica de Cálculo'!$U$8&gt;=4,'Lógica de Cálculo'!$U$9&gt;=4),"x"," ")</f>
        <v>x</v>
      </c>
      <c r="N18" s="75" t="str">
        <f>IF(AND('Lógica de Cálculo'!$U$8&gt;=4,'Lógica de Cálculo'!$U$9&gt;=3),"x"," ")</f>
        <v>x</v>
      </c>
      <c r="O18" s="75" t="str">
        <f>IF(AND('Lógica de Cálculo'!$U$8&gt;=4,'Lógica de Cálculo'!$U$9&gt;=2),"x"," ")</f>
        <v>x</v>
      </c>
      <c r="P18" s="95" t="str">
        <f>IF(AND('Lógica de Cálculo'!$U$8&gt;=4,'Lógica de Cálculo'!$U$9&gt;=1),"x","2º GRÁU INCOMPLETO")</f>
        <v>x</v>
      </c>
      <c r="Q18" s="74" t="str">
        <f>IF(AND('Lógica de Cálculo'!$U$8&gt;=4,'Lógica de Cálculo'!$U$7&gt;=1),"x"," ")</f>
        <v>x</v>
      </c>
      <c r="R18" s="75" t="str">
        <f>IF(AND('Lógica de Cálculo'!$U$8&gt;=4,'Lógica de Cálculo'!$U$7&gt;=2),"x"," ")</f>
        <v>x</v>
      </c>
      <c r="S18" s="75" t="str">
        <f>IF(AND('Lógica de Cálculo'!$U$8&gt;=4,'Lógica de Cálculo'!$U$7&gt;=3),"x"," ")</f>
        <v>x</v>
      </c>
      <c r="T18" s="75" t="str">
        <f>IF(AND('Lógica de Cálculo'!$U$8&gt;=4,'Lógica de Cálculo'!$U$7&gt;=4),"x"," ")</f>
        <v>x</v>
      </c>
      <c r="U18" s="75" t="str">
        <f>IF(AND('Lógica de Cálculo'!$U$8&gt;=4,'Lógica de Cálculo'!$U$7&gt;=5),"x"," ")</f>
        <v>x</v>
      </c>
      <c r="V18" s="75" t="str">
        <f>IF(AND('Lógica de Cálculo'!$U$8&gt;=4,'Lógica de Cálculo'!$U$7&gt;=6),"x"," ")</f>
        <v>x</v>
      </c>
      <c r="W18" s="75" t="str">
        <f>IF(AND('Lógica de Cálculo'!$U$8&gt;=4,'Lógica de Cálculo'!$U$7&gt;=7),"x"," ")</f>
        <v>x</v>
      </c>
      <c r="X18" s="75" t="str">
        <f>IF(AND('Lógica de Cálculo'!$U$8&gt;=4,'Lógica de Cálculo'!$U$7&gt;=8),"x"," ")</f>
        <v> </v>
      </c>
      <c r="Y18" s="75" t="str">
        <f>IF(AND('Lógica de Cálculo'!$U$8&gt;=4,'Lógica de Cálculo'!$U$7&gt;=9),"x"," ")</f>
        <v> </v>
      </c>
      <c r="Z18" s="78" t="str">
        <f>IF(AND('Lógica de Cálculo'!$U$8&gt;=4,'Lógica de Cálculo'!$U$7&gt;=10),"x"," ")</f>
        <v> </v>
      </c>
      <c r="AA18" s="6">
        <v>14</v>
      </c>
    </row>
    <row r="19" spans="2:27" ht="31.5" customHeight="1">
      <c r="B19" s="9"/>
      <c r="F19" s="1">
        <v>15</v>
      </c>
      <c r="G19" s="74" t="str">
        <f>IF(AND('Lógica de Cálculo'!$U$8&gt;=5,'Lógica de Cálculo'!$U$9&gt;=10),"x"," ")</f>
        <v> </v>
      </c>
      <c r="H19" s="75" t="str">
        <f>IF(AND('Lógica de Cálculo'!$U$8&gt;=5,'Lógica de Cálculo'!$U$9&gt;=9),"x"," ")</f>
        <v> </v>
      </c>
      <c r="I19" s="75" t="str">
        <f>IF(AND('Lógica de Cálculo'!$U$8&gt;=5,'Lógica de Cálculo'!$U$9&gt;=8),"x"," ")</f>
        <v> </v>
      </c>
      <c r="J19" s="75" t="str">
        <f>IF(AND('Lógica de Cálculo'!$U$8&gt;=5,'Lógica de Cálculo'!$U$9&gt;=7),"x"," ")</f>
        <v> </v>
      </c>
      <c r="K19" s="75" t="str">
        <f>IF(AND('Lógica de Cálculo'!$U$8&gt;=5,'Lógica de Cálculo'!$U$9&gt;=6),"x"," ")</f>
        <v>x</v>
      </c>
      <c r="L19" s="75" t="str">
        <f>IF(AND('Lógica de Cálculo'!$U$8&gt;=5,'Lógica de Cálculo'!$U$9&gt;=5),"x"," ")</f>
        <v>x</v>
      </c>
      <c r="M19" s="75" t="str">
        <f>IF(AND('Lógica de Cálculo'!$U$8&gt;=5,'Lógica de Cálculo'!$U$9&gt;=4),"x"," ")</f>
        <v>x</v>
      </c>
      <c r="N19" s="75" t="str">
        <f>IF(AND('Lógica de Cálculo'!$U$8&gt;=5,'Lógica de Cálculo'!$U$9&gt;=3),"x"," ")</f>
        <v>x</v>
      </c>
      <c r="O19" s="75" t="str">
        <f>IF(AND('Lógica de Cálculo'!$U$8&gt;=5,'Lógica de Cálculo'!$U$9&gt;=2),"x"," ")</f>
        <v>x</v>
      </c>
      <c r="P19" s="95" t="str">
        <f>IF(AND('Lógica de Cálculo'!$U$8&gt;=5,'Lógica de Cálculo'!$U$9&gt;=1),"x","2º GRÁU COMPLETO")</f>
        <v>x</v>
      </c>
      <c r="Q19" s="74" t="str">
        <f>IF(AND('Lógica de Cálculo'!$U$8&gt;=5,'Lógica de Cálculo'!$U$7&gt;=1),"x"," ")</f>
        <v>x</v>
      </c>
      <c r="R19" s="75" t="str">
        <f>IF(AND('Lógica de Cálculo'!$U$8&gt;=5,'Lógica de Cálculo'!$U$7&gt;=2),"x"," ")</f>
        <v>x</v>
      </c>
      <c r="S19" s="75" t="str">
        <f>IF(AND('Lógica de Cálculo'!$U$8&gt;=5,'Lógica de Cálculo'!$U$7&gt;=3),"x"," ")</f>
        <v>x</v>
      </c>
      <c r="T19" s="75" t="str">
        <f>IF(AND('Lógica de Cálculo'!$U$8&gt;=5,'Lógica de Cálculo'!$U$7&gt;=4),"x"," ")</f>
        <v>x</v>
      </c>
      <c r="U19" s="75" t="str">
        <f>IF(AND('Lógica de Cálculo'!$U$8&gt;=5,'Lógica de Cálculo'!$U$7&gt;=5),"x"," ")</f>
        <v>x</v>
      </c>
      <c r="V19" s="75" t="str">
        <f>IF(AND('Lógica de Cálculo'!$U$8&gt;=5,'Lógica de Cálculo'!$U$7&gt;=6),"x"," ")</f>
        <v>x</v>
      </c>
      <c r="W19" s="75" t="str">
        <f>IF(AND('Lógica de Cálculo'!$U$8&gt;=5,'Lógica de Cálculo'!$U$7&gt;=7),"x"," ")</f>
        <v>x</v>
      </c>
      <c r="X19" s="75" t="str">
        <f>IF(AND('Lógica de Cálculo'!$U$8&gt;=5,'Lógica de Cálculo'!$U$7&gt;=8),"x"," ")</f>
        <v> </v>
      </c>
      <c r="Y19" s="75" t="str">
        <f>IF(AND('Lógica de Cálculo'!$U$8&gt;=5,'Lógica de Cálculo'!$U$7&gt;=9),"x"," ")</f>
        <v> </v>
      </c>
      <c r="Z19" s="78" t="str">
        <f>IF(AND('Lógica de Cálculo'!$U$8&gt;=5,'Lógica de Cálculo'!$U$7&gt;=10),"x"," ")</f>
        <v> </v>
      </c>
      <c r="AA19" s="6">
        <v>15</v>
      </c>
    </row>
    <row r="20" spans="6:27" ht="31.5" customHeight="1">
      <c r="F20" s="1">
        <v>16</v>
      </c>
      <c r="G20" s="74" t="str">
        <f>IF(AND('Lógica de Cálculo'!$U$8&gt;=6,'Lógica de Cálculo'!$U$9&gt;=10),"x"," ")</f>
        <v> </v>
      </c>
      <c r="H20" s="75" t="str">
        <f>IF(AND('Lógica de Cálculo'!$U$8&gt;=6,'Lógica de Cálculo'!$U$9&gt;=9),"x"," ")</f>
        <v> </v>
      </c>
      <c r="I20" s="75" t="str">
        <f>IF(AND('Lógica de Cálculo'!$U$8&gt;=6,'Lógica de Cálculo'!$U$9&gt;=8),"x"," ")</f>
        <v> </v>
      </c>
      <c r="J20" s="75" t="str">
        <f>IF(AND('Lógica de Cálculo'!$U$8&gt;=6,'Lógica de Cálculo'!$U$9&gt;=7),"x"," ")</f>
        <v> </v>
      </c>
      <c r="K20" s="75" t="str">
        <f>IF(AND('Lógica de Cálculo'!$U$8&gt;=6,'Lógica de Cálculo'!$U$9&gt;=6),"x"," ")</f>
        <v> </v>
      </c>
      <c r="L20" s="75" t="str">
        <f>IF(AND('Lógica de Cálculo'!$U$8&gt;=6,'Lógica de Cálculo'!$U$9&gt;=5),"x"," ")</f>
        <v> </v>
      </c>
      <c r="M20" s="75" t="str">
        <f>IF(AND('Lógica de Cálculo'!$U$8&gt;=6,'Lógica de Cálculo'!$U$9&gt;=4),"x"," ")</f>
        <v> </v>
      </c>
      <c r="N20" s="75" t="str">
        <f>IF(AND('Lógica de Cálculo'!$U$8&gt;=6,'Lógica de Cálculo'!$U$9&gt;=3),"x"," ")</f>
        <v> </v>
      </c>
      <c r="O20" s="75" t="str">
        <f>IF(AND('Lógica de Cálculo'!$U$8&gt;=6,'Lógica de Cálculo'!$U$9&gt;=2),"x"," ")</f>
        <v> </v>
      </c>
      <c r="P20" s="95">
        <f>IF(AND('Lógica de Cálculo'!$U$8&gt;=6,'Lógica de Cálculo'!$U$9&gt;=1),"x","")</f>
      </c>
      <c r="Q20" s="74" t="str">
        <f>IF(AND('Lógica de Cálculo'!$U$8&gt;=6,'Lógica de Cálculo'!$U$7&gt;=1),"x"," ")</f>
        <v> </v>
      </c>
      <c r="R20" s="75" t="str">
        <f>IF(AND('Lógica de Cálculo'!$U$8&gt;=6,'Lógica de Cálculo'!$U$7&gt;=2),"x"," ")</f>
        <v> </v>
      </c>
      <c r="S20" s="75" t="str">
        <f>IF(AND('Lógica de Cálculo'!$U$8&gt;=6,'Lógica de Cálculo'!$U$7&gt;=3),"x"," ")</f>
        <v> </v>
      </c>
      <c r="T20" s="75" t="str">
        <f>IF(AND('Lógica de Cálculo'!$U$8&gt;=6,'Lógica de Cálculo'!$U$7&gt;=4),"x"," ")</f>
        <v> </v>
      </c>
      <c r="U20" s="75" t="str">
        <f>IF(AND('Lógica de Cálculo'!$U$8&gt;=6,'Lógica de Cálculo'!$U$7&gt;=5),"x"," ")</f>
        <v> </v>
      </c>
      <c r="V20" s="75" t="str">
        <f>IF(AND('Lógica de Cálculo'!$U$8&gt;=6,'Lógica de Cálculo'!$U$7&gt;=6),"x"," ")</f>
        <v> </v>
      </c>
      <c r="W20" s="75" t="str">
        <f>IF(AND('Lógica de Cálculo'!$U$8&gt;=6,'Lógica de Cálculo'!$U$7&gt;=7),"x"," ")</f>
        <v> </v>
      </c>
      <c r="X20" s="75" t="str">
        <f>IF(AND('Lógica de Cálculo'!$U$8&gt;=6,'Lógica de Cálculo'!$U$7&gt;=8),"x"," ")</f>
        <v> </v>
      </c>
      <c r="Y20" s="75" t="str">
        <f>IF(AND('Lógica de Cálculo'!$U$8&gt;=6,'Lógica de Cálculo'!$U$7&gt;=9),"x"," ")</f>
        <v> </v>
      </c>
      <c r="Z20" s="78">
        <f>IF(AND('Lógica de Cálculo'!$U$8&gt;=6,'Lógica de Cálculo'!$U$7&gt;=10),"x","")</f>
      </c>
      <c r="AA20" s="6">
        <v>16</v>
      </c>
    </row>
    <row r="21" spans="2:27" ht="31.5" customHeight="1">
      <c r="B21" s="31" t="s">
        <v>55</v>
      </c>
      <c r="F21" s="1">
        <v>17</v>
      </c>
      <c r="G21" s="74" t="str">
        <f>IF(AND('Lógica de Cálculo'!$U$8&gt;=7,'Lógica de Cálculo'!$U$9&gt;=10),"x"," ")</f>
        <v> </v>
      </c>
      <c r="H21" s="75" t="str">
        <f>IF(AND('Lógica de Cálculo'!$U$8&gt;=7,'Lógica de Cálculo'!$U$9&gt;=9),"x"," ")</f>
        <v> </v>
      </c>
      <c r="I21" s="75" t="str">
        <f>IF(AND('Lógica de Cálculo'!$U$8&gt;=7,'Lógica de Cálculo'!$U$9&gt;=8),"x"," ")</f>
        <v> </v>
      </c>
      <c r="J21" s="75" t="str">
        <f>IF(AND('Lógica de Cálculo'!$U$8&gt;=7,'Lógica de Cálculo'!$U$9&gt;=7),"x"," ")</f>
        <v> </v>
      </c>
      <c r="K21" s="75" t="str">
        <f>IF(AND('Lógica de Cálculo'!$U$8&gt;=7,'Lógica de Cálculo'!$U$9&gt;=6),"x"," ")</f>
        <v> </v>
      </c>
      <c r="L21" s="75" t="str">
        <f>IF(AND('Lógica de Cálculo'!$U$8&gt;=7,'Lógica de Cálculo'!$U$9&gt;=5),"x"," ")</f>
        <v> </v>
      </c>
      <c r="M21" s="75" t="str">
        <f>IF(AND('Lógica de Cálculo'!$U$8&gt;=7,'Lógica de Cálculo'!$U$9&gt;=4),"x"," ")</f>
        <v> </v>
      </c>
      <c r="N21" s="75" t="str">
        <f>IF(AND('Lógica de Cálculo'!$U$8&gt;=7,'Lógica de Cálculo'!$U$9&gt;=3),"x"," ")</f>
        <v> </v>
      </c>
      <c r="O21" s="75" t="str">
        <f>IF(AND('Lógica de Cálculo'!$U$8&gt;=7,'Lógica de Cálculo'!$U$9&gt;=2),"x"," ")</f>
        <v> </v>
      </c>
      <c r="P21" s="95" t="str">
        <f>IF(AND('Lógica de Cálculo'!$U$8&gt;=7,'Lógica de Cálculo'!$U$9&gt;=1),"x","3º GRÁU INCOMPLETO")</f>
        <v>3º GRÁU INCOMPLETO</v>
      </c>
      <c r="Q21" s="74" t="str">
        <f>IF(AND('Lógica de Cálculo'!$U$8&gt;=7,'Lógica de Cálculo'!$U$7&gt;=1),"x"," ")</f>
        <v> </v>
      </c>
      <c r="R21" s="75" t="str">
        <f>IF(AND('Lógica de Cálculo'!$U$8&gt;=7,'Lógica de Cálculo'!$U$7&gt;=2),"x"," ")</f>
        <v> </v>
      </c>
      <c r="S21" s="75" t="str">
        <f>IF(AND('Lógica de Cálculo'!$U$8&gt;=7,'Lógica de Cálculo'!$U$7&gt;=3),"x"," ")</f>
        <v> </v>
      </c>
      <c r="T21" s="75" t="str">
        <f>IF(AND('Lógica de Cálculo'!$U$8&gt;=7,'Lógica de Cálculo'!$U$7&gt;=4),"x"," ")</f>
        <v> </v>
      </c>
      <c r="U21" s="75" t="str">
        <f>IF(AND('Lógica de Cálculo'!$U$8&gt;=7,'Lógica de Cálculo'!$U$7&gt;=5),"x"," ")</f>
        <v> </v>
      </c>
      <c r="V21" s="75" t="str">
        <f>IF(AND('Lógica de Cálculo'!$U$8&gt;=7,'Lógica de Cálculo'!$U$7&gt;=6),"x"," ")</f>
        <v> </v>
      </c>
      <c r="W21" s="75" t="str">
        <f>IF(AND('Lógica de Cálculo'!$U$8&gt;=7,'Lógica de Cálculo'!$U$7&gt;=7),"x"," ")</f>
        <v> </v>
      </c>
      <c r="X21" s="75" t="str">
        <f>IF(AND('Lógica de Cálculo'!$U$8&gt;=7,'Lógica de Cálculo'!$U$7&gt;=8),"x"," ")</f>
        <v> </v>
      </c>
      <c r="Y21" s="75" t="str">
        <f>IF(AND('Lógica de Cálculo'!$U$8&gt;=7,'Lógica de Cálculo'!$U$7&gt;=9),"x"," ")</f>
        <v> </v>
      </c>
      <c r="Z21" s="78" t="str">
        <f>IF(AND('Lógica de Cálculo'!$U$8&gt;=7,'Lógica de Cálculo'!$U$7&gt;=10),"x"," ")</f>
        <v> </v>
      </c>
      <c r="AA21" s="6">
        <v>17</v>
      </c>
    </row>
    <row r="22" spans="2:27" ht="31.5" customHeight="1">
      <c r="B22" s="29" t="s">
        <v>60</v>
      </c>
      <c r="C22" s="30" t="s">
        <v>56</v>
      </c>
      <c r="F22" s="1">
        <v>18</v>
      </c>
      <c r="G22" s="74" t="str">
        <f>IF(AND('Lógica de Cálculo'!$U$8&gt;=8,'Lógica de Cálculo'!$U$9&gt;=10),"x"," ")</f>
        <v> </v>
      </c>
      <c r="H22" s="75" t="str">
        <f>IF(AND('Lógica de Cálculo'!$U$8&gt;=8,'Lógica de Cálculo'!$U$9&gt;=9),"x"," ")</f>
        <v> </v>
      </c>
      <c r="I22" s="75" t="str">
        <f>IF(AND('Lógica de Cálculo'!$U$8&gt;=8,'Lógica de Cálculo'!$U$9&gt;=8),"x"," ")</f>
        <v> </v>
      </c>
      <c r="J22" s="75" t="str">
        <f>IF(AND('Lógica de Cálculo'!$U$8&gt;=8,'Lógica de Cálculo'!$U$9&gt;=7),"x"," ")</f>
        <v> </v>
      </c>
      <c r="K22" s="75" t="str">
        <f>IF(AND('Lógica de Cálculo'!$U$8&gt;=8,'Lógica de Cálculo'!$U$9&gt;=6),"x"," ")</f>
        <v> </v>
      </c>
      <c r="L22" s="75" t="str">
        <f>IF(AND('Lógica de Cálculo'!$U$8&gt;=8,'Lógica de Cálculo'!$U$9&gt;=5),"x"," ")</f>
        <v> </v>
      </c>
      <c r="M22" s="75" t="str">
        <f>IF(AND('Lógica de Cálculo'!$U$8&gt;=8,'Lógica de Cálculo'!$U$9&gt;=4),"x"," ")</f>
        <v> </v>
      </c>
      <c r="N22" s="75" t="str">
        <f>IF(AND('Lógica de Cálculo'!$U$8&gt;=8,'Lógica de Cálculo'!$U$9&gt;=3),"x"," ")</f>
        <v> </v>
      </c>
      <c r="O22" s="75" t="str">
        <f>IF(AND('Lógica de Cálculo'!$U$8&gt;=8,'Lógica de Cálculo'!$U$9&gt;=2),"x"," ")</f>
        <v> </v>
      </c>
      <c r="P22" s="95" t="str">
        <f>IF(AND('Lógica de Cálculo'!$U$8&gt;=8,'Lógica de Cálculo'!$U$9&gt;=1),"x","3º GRÁU COMPLETO")</f>
        <v>3º GRÁU COMPLETO</v>
      </c>
      <c r="Q22" s="74" t="str">
        <f>IF(AND('Lógica de Cálculo'!$U$8&gt;=8,'Lógica de Cálculo'!$U$7&gt;=1),"x"," ")</f>
        <v> </v>
      </c>
      <c r="R22" s="75" t="str">
        <f>IF(AND('Lógica de Cálculo'!$U$8&gt;=8,'Lógica de Cálculo'!$U$7&gt;=2),"x"," ")</f>
        <v> </v>
      </c>
      <c r="S22" s="75" t="str">
        <f>IF(AND('Lógica de Cálculo'!$U$8&gt;=8,'Lógica de Cálculo'!$U$7&gt;=3),"x"," ")</f>
        <v> </v>
      </c>
      <c r="T22" s="75" t="str">
        <f>IF(AND('Lógica de Cálculo'!$U$8&gt;=8,'Lógica de Cálculo'!$U$7&gt;=4),"x"," ")</f>
        <v> </v>
      </c>
      <c r="U22" s="75" t="str">
        <f>IF(AND('Lógica de Cálculo'!$U$8&gt;=8,'Lógica de Cálculo'!$U$7&gt;=5),"x"," ")</f>
        <v> </v>
      </c>
      <c r="V22" s="75" t="str">
        <f>IF(AND('Lógica de Cálculo'!$U$8&gt;=8,'Lógica de Cálculo'!$U$7&gt;=6),"x"," ")</f>
        <v> </v>
      </c>
      <c r="W22" s="75" t="str">
        <f>IF(AND('Lógica de Cálculo'!$U$8&gt;=8,'Lógica de Cálculo'!$U$7&gt;=7),"x"," ")</f>
        <v> </v>
      </c>
      <c r="X22" s="75" t="str">
        <f>IF(AND('Lógica de Cálculo'!$U$8&gt;=8,'Lógica de Cálculo'!$U$7&gt;=8),"x"," ")</f>
        <v> </v>
      </c>
      <c r="Y22" s="75" t="str">
        <f>IF(AND('Lógica de Cálculo'!$U$8&gt;=8,'Lógica de Cálculo'!$U$7&gt;=9),"x"," ")</f>
        <v> </v>
      </c>
      <c r="Z22" s="78" t="str">
        <f>IF(AND('Lógica de Cálculo'!$U$8&gt;=8,'Lógica de Cálculo'!$U$7&gt;=10),"x"," ")</f>
        <v> </v>
      </c>
      <c r="AA22" s="6">
        <v>18</v>
      </c>
    </row>
    <row r="23" spans="2:27" ht="31.5" customHeight="1">
      <c r="B23" s="29" t="s">
        <v>64</v>
      </c>
      <c r="C23" s="30" t="s">
        <v>57</v>
      </c>
      <c r="F23" s="1">
        <v>19</v>
      </c>
      <c r="G23" s="74" t="str">
        <f>IF(AND('Lógica de Cálculo'!$U$8&gt;=9,'Lógica de Cálculo'!$U$9&gt;=10),"x"," ")</f>
        <v> </v>
      </c>
      <c r="H23" s="75" t="str">
        <f>IF(AND('Lógica de Cálculo'!$U$8&gt;=9,'Lógica de Cálculo'!$U$9&gt;=9),"x"," ")</f>
        <v> </v>
      </c>
      <c r="I23" s="75" t="str">
        <f>IF(AND('Lógica de Cálculo'!$U$8&gt;=9,'Lógica de Cálculo'!$U$9&gt;=8),"x"," ")</f>
        <v> </v>
      </c>
      <c r="J23" s="75" t="str">
        <f>IF(AND('Lógica de Cálculo'!$U$8&gt;=9,'Lógica de Cálculo'!$U$9&gt;=7),"x"," ")</f>
        <v> </v>
      </c>
      <c r="K23" s="75" t="str">
        <f>IF(AND('Lógica de Cálculo'!$U$8&gt;=9,'Lógica de Cálculo'!$U$9&gt;=6),"x"," ")</f>
        <v> </v>
      </c>
      <c r="L23" s="75" t="str">
        <f>IF(AND('Lógica de Cálculo'!$U$8&gt;=9,'Lógica de Cálculo'!$U$9&gt;=5),"x"," ")</f>
        <v> </v>
      </c>
      <c r="M23" s="75" t="str">
        <f>IF(AND('Lógica de Cálculo'!$U$8&gt;=9,'Lógica de Cálculo'!$U$9&gt;=4),"x"," ")</f>
        <v> </v>
      </c>
      <c r="N23" s="75" t="str">
        <f>IF(AND('Lógica de Cálculo'!$U$8&gt;=9,'Lógica de Cálculo'!$U$9&gt;=3),"x"," ")</f>
        <v> </v>
      </c>
      <c r="O23" s="75" t="str">
        <f>IF(AND('Lógica de Cálculo'!$U$8&gt;=9,'Lógica de Cálculo'!$U$9&gt;=2),"x"," ")</f>
        <v> </v>
      </c>
      <c r="P23" s="95" t="str">
        <f>IF(AND('Lógica de Cálculo'!$U$8&gt;=9,'Lógica de Cálculo'!$U$9&gt;=1),"x","UMA PÓS GRADUAÇÃO")</f>
        <v>UMA PÓS GRADUAÇÃO</v>
      </c>
      <c r="Q23" s="74" t="str">
        <f>IF(AND('Lógica de Cálculo'!$U$8&gt;=9,'Lógica de Cálculo'!$U$7&gt;=1),"x"," ")</f>
        <v> </v>
      </c>
      <c r="R23" s="75" t="str">
        <f>IF(AND('Lógica de Cálculo'!$U$8&gt;=9,'Lógica de Cálculo'!$U$7&gt;=2),"x"," ")</f>
        <v> </v>
      </c>
      <c r="S23" s="75" t="str">
        <f>IF(AND('Lógica de Cálculo'!$U$8&gt;=9,'Lógica de Cálculo'!$U$7&gt;=3),"x"," ")</f>
        <v> </v>
      </c>
      <c r="T23" s="75" t="str">
        <f>IF(AND('Lógica de Cálculo'!$U$8&gt;=9,'Lógica de Cálculo'!$U$7&gt;=4),"x"," ")</f>
        <v> </v>
      </c>
      <c r="U23" s="75" t="str">
        <f>IF(AND('Lógica de Cálculo'!$U$8&gt;=9,'Lógica de Cálculo'!$U$7&gt;=5),"x"," ")</f>
        <v> </v>
      </c>
      <c r="V23" s="75" t="str">
        <f>IF(AND('Lógica de Cálculo'!$U$8&gt;=9,'Lógica de Cálculo'!$U$7&gt;=6),"x"," ")</f>
        <v> </v>
      </c>
      <c r="W23" s="75" t="str">
        <f>IF(AND('Lógica de Cálculo'!$U$8&gt;=9,'Lógica de Cálculo'!$U$7&gt;=7),"x"," ")</f>
        <v> </v>
      </c>
      <c r="X23" s="75" t="str">
        <f>IF(AND('Lógica de Cálculo'!$U$8&gt;=9,'Lógica de Cálculo'!$U$7&gt;=8),"x"," ")</f>
        <v> </v>
      </c>
      <c r="Y23" s="75" t="str">
        <f>IF(AND('Lógica de Cálculo'!$U$8&gt;=9,'Lógica de Cálculo'!$U$7&gt;=9),"x"," ")</f>
        <v> </v>
      </c>
      <c r="Z23" s="78" t="str">
        <f>IF(AND('Lógica de Cálculo'!$U$8&gt;=9,'Lógica de Cálculo'!$U$7&gt;=10),"x"," ")</f>
        <v> </v>
      </c>
      <c r="AA23" s="6">
        <v>19</v>
      </c>
    </row>
    <row r="24" spans="2:27" ht="31.5" customHeight="1" thickBot="1">
      <c r="B24" s="29" t="s">
        <v>70</v>
      </c>
      <c r="C24" s="30" t="s">
        <v>58</v>
      </c>
      <c r="F24" s="1">
        <v>20</v>
      </c>
      <c r="G24" s="84" t="str">
        <f>IF(AND('Lógica de Cálculo'!$U$8&gt;=10,'Lógica de Cálculo'!$U$9&gt;=10),"x"," ")</f>
        <v> </v>
      </c>
      <c r="H24" s="85" t="str">
        <f>IF(AND('Lógica de Cálculo'!$U$8&gt;=10,'Lógica de Cálculo'!$U$9&gt;=9),"x"," ")</f>
        <v> </v>
      </c>
      <c r="I24" s="85" t="str">
        <f>IF(AND('Lógica de Cálculo'!$U$8&gt;=10,'Lógica de Cálculo'!$U$9&gt;=8),"x"," ")</f>
        <v> </v>
      </c>
      <c r="J24" s="85" t="str">
        <f>IF(AND('Lógica de Cálculo'!$U$8&gt;=10,'Lógica de Cálculo'!$U$9&gt;=7),"x"," ")</f>
        <v> </v>
      </c>
      <c r="K24" s="85" t="str">
        <f>IF(AND('Lógica de Cálculo'!$U$8&gt;=10,'Lógica de Cálculo'!$U$9&gt;=6),"x"," ")</f>
        <v> </v>
      </c>
      <c r="L24" s="85" t="str">
        <f>IF(AND('Lógica de Cálculo'!$U$8&gt;=10,'Lógica de Cálculo'!$U$9&gt;=5),"x"," ")</f>
        <v> </v>
      </c>
      <c r="M24" s="85" t="str">
        <f>IF(AND('Lógica de Cálculo'!$U$8&gt;=10,'Lógica de Cálculo'!$U$9&gt;=4),"x"," ")</f>
        <v> </v>
      </c>
      <c r="N24" s="85" t="str">
        <f>IF(AND('Lógica de Cálculo'!$U$8&gt;=10,'Lógica de Cálculo'!$U$9&gt;=3),"x"," ")</f>
        <v> </v>
      </c>
      <c r="O24" s="85" t="str">
        <f>IF(AND('Lógica de Cálculo'!$U$8&gt;=10,'Lógica de Cálculo'!$U$9&gt;=2),"x"," ")</f>
        <v> </v>
      </c>
      <c r="P24" s="96" t="str">
        <f>IF(AND('Lógica de Cálculo'!$U$8&gt;=10,'Lógica de Cálculo'!$U$9&gt;=1),"x","DUAS OU + PÓS GRADUAÇAO")</f>
        <v>DUAS OU + PÓS GRADUAÇAO</v>
      </c>
      <c r="Q24" s="84" t="str">
        <f>IF(AND('Lógica de Cálculo'!$U$8&gt;=10,'Lógica de Cálculo'!$U$7&gt;=1),"x"," ")</f>
        <v> </v>
      </c>
      <c r="R24" s="85" t="str">
        <f>IF(AND('Lógica de Cálculo'!$U$8&gt;=10,'Lógica de Cálculo'!$U$7&gt;=2),"x"," ")</f>
        <v> </v>
      </c>
      <c r="S24" s="85" t="str">
        <f>IF(AND('Lógica de Cálculo'!$U$8&gt;=10,'Lógica de Cálculo'!$U$7&gt;=3),"x"," ")</f>
        <v> </v>
      </c>
      <c r="T24" s="85" t="str">
        <f>IF(AND('Lógica de Cálculo'!$U$8&gt;=10,'Lógica de Cálculo'!$U$7&gt;=4),"x"," ")</f>
        <v> </v>
      </c>
      <c r="U24" s="85" t="str">
        <f>IF(AND('Lógica de Cálculo'!$U$8&gt;=10,'Lógica de Cálculo'!$U$7&gt;=5),"x"," ")</f>
        <v> </v>
      </c>
      <c r="V24" s="85" t="str">
        <f>IF(AND('Lógica de Cálculo'!$U$8&gt;=10,'Lógica de Cálculo'!$U$7&gt;=6),"x"," ")</f>
        <v> </v>
      </c>
      <c r="W24" s="85" t="str">
        <f>IF(AND('Lógica de Cálculo'!$U$8&gt;=10,'Lógica de Cálculo'!$U$7&gt;=7),"x"," ")</f>
        <v> </v>
      </c>
      <c r="X24" s="85" t="str">
        <f>IF(AND('Lógica de Cálculo'!$U$8&gt;=10,'Lógica de Cálculo'!$U$7&gt;=8),"x"," ")</f>
        <v> </v>
      </c>
      <c r="Y24" s="85" t="str">
        <f>IF(AND('Lógica de Cálculo'!$U$8&gt;=10,'Lógica de Cálculo'!$U$7&gt;=9),"x"," ")</f>
        <v> </v>
      </c>
      <c r="Z24" s="97" t="str">
        <f>IF(AND('Lógica de Cálculo'!$U$8&gt;=10,'Lógica de Cálculo'!$U$7&gt;=10),"x"," ")</f>
        <v> </v>
      </c>
      <c r="AA24" s="6">
        <v>20</v>
      </c>
    </row>
    <row r="25" spans="6:27" ht="31.5" customHeight="1">
      <c r="F25" s="1"/>
      <c r="G25" s="7">
        <v>1</v>
      </c>
      <c r="H25" s="7">
        <v>2</v>
      </c>
      <c r="I25" s="7">
        <v>3</v>
      </c>
      <c r="J25" s="7">
        <v>4</v>
      </c>
      <c r="K25" s="7">
        <v>5</v>
      </c>
      <c r="L25" s="7">
        <v>6</v>
      </c>
      <c r="M25" s="7">
        <v>7</v>
      </c>
      <c r="N25" s="7">
        <v>8</v>
      </c>
      <c r="O25" s="7">
        <v>9</v>
      </c>
      <c r="P25" s="8">
        <v>10</v>
      </c>
      <c r="Q25" s="8">
        <v>11</v>
      </c>
      <c r="R25" s="7">
        <v>12</v>
      </c>
      <c r="S25" s="7">
        <v>13</v>
      </c>
      <c r="T25" s="7">
        <v>14</v>
      </c>
      <c r="U25" s="7">
        <v>15</v>
      </c>
      <c r="V25" s="7">
        <v>16</v>
      </c>
      <c r="W25" s="7">
        <v>17</v>
      </c>
      <c r="X25" s="7">
        <v>18</v>
      </c>
      <c r="Y25" s="7">
        <v>19</v>
      </c>
      <c r="Z25" s="7">
        <v>20</v>
      </c>
      <c r="AA25" s="3"/>
    </row>
    <row r="26" spans="2:51" ht="36" customHeight="1">
      <c r="B26" s="1"/>
      <c r="C26" s="3"/>
      <c r="D26" s="3"/>
      <c r="E26" s="3"/>
      <c r="F26" s="3"/>
      <c r="G26" s="3"/>
      <c r="H26" s="3"/>
      <c r="I26" s="3"/>
      <c r="J26" s="3"/>
      <c r="O26" s="172" t="s">
        <v>21</v>
      </c>
      <c r="P26" s="173"/>
      <c r="Q26" s="173"/>
      <c r="R26" s="173"/>
      <c r="S26" s="3"/>
      <c r="T26" s="3"/>
      <c r="U26" s="3"/>
      <c r="V26" s="3"/>
      <c r="W26" s="3"/>
      <c r="AY26"/>
    </row>
    <row r="27" spans="6:27" ht="31.5" customHeight="1">
      <c r="F27" s="1"/>
      <c r="G27" s="7"/>
      <c r="H27" s="7"/>
      <c r="I27" s="7"/>
      <c r="J27" s="7"/>
      <c r="K27" s="7"/>
      <c r="L27" s="7"/>
      <c r="M27" s="7"/>
      <c r="N27" s="7"/>
      <c r="O27" s="7"/>
      <c r="P27" s="8"/>
      <c r="Q27" s="8"/>
      <c r="R27" s="7"/>
      <c r="S27" s="7"/>
      <c r="T27" s="7"/>
      <c r="U27" s="7"/>
      <c r="V27" s="7"/>
      <c r="W27" s="7"/>
      <c r="X27" s="7"/>
      <c r="Y27" s="7"/>
      <c r="Z27" s="7"/>
      <c r="AA27" s="3"/>
    </row>
    <row r="28" spans="6:27" ht="31.5" customHeight="1">
      <c r="F28" s="1"/>
      <c r="G28" s="7"/>
      <c r="H28" s="7"/>
      <c r="I28" s="7"/>
      <c r="J28" s="7"/>
      <c r="K28" s="7"/>
      <c r="L28" s="7"/>
      <c r="M28" s="7"/>
      <c r="N28" s="7"/>
      <c r="O28" s="7"/>
      <c r="P28" s="8"/>
      <c r="Q28" s="8"/>
      <c r="R28" s="7"/>
      <c r="S28" s="7"/>
      <c r="T28" s="7"/>
      <c r="U28" s="7"/>
      <c r="V28" s="7"/>
      <c r="W28" s="7"/>
      <c r="X28" s="7"/>
      <c r="Y28" s="7"/>
      <c r="Z28" s="7"/>
      <c r="AA28" s="3"/>
    </row>
    <row r="29" spans="6:27" ht="31.5" customHeight="1">
      <c r="F29" s="1"/>
      <c r="G29" s="7"/>
      <c r="H29" s="7"/>
      <c r="I29" s="7"/>
      <c r="J29" s="7"/>
      <c r="K29" s="7"/>
      <c r="L29" s="7"/>
      <c r="M29" s="7"/>
      <c r="N29" s="7"/>
      <c r="O29" s="7"/>
      <c r="P29" s="8"/>
      <c r="Q29" s="8"/>
      <c r="R29" s="7"/>
      <c r="S29" s="7"/>
      <c r="T29" s="7"/>
      <c r="U29" s="7"/>
      <c r="V29" s="7"/>
      <c r="W29" s="7"/>
      <c r="X29" s="7"/>
      <c r="Y29" s="7"/>
      <c r="Z29" s="7"/>
      <c r="AA29" s="3"/>
    </row>
    <row r="30" spans="6:27" ht="31.5" customHeight="1">
      <c r="F30" s="1"/>
      <c r="G30" s="7"/>
      <c r="H30" s="7"/>
      <c r="I30" s="7"/>
      <c r="J30" s="7"/>
      <c r="K30" s="7"/>
      <c r="L30" s="7"/>
      <c r="M30" s="7"/>
      <c r="N30" s="7"/>
      <c r="O30" s="7"/>
      <c r="P30" s="8"/>
      <c r="Q30" s="8"/>
      <c r="R30" s="7"/>
      <c r="S30" s="7"/>
      <c r="T30" s="7"/>
      <c r="U30" s="7"/>
      <c r="V30" s="7"/>
      <c r="W30" s="7"/>
      <c r="X30" s="7"/>
      <c r="Y30" s="7"/>
      <c r="Z30" s="7"/>
      <c r="AA30" s="3"/>
    </row>
    <row r="31" spans="6:27" ht="31.5" customHeight="1">
      <c r="F31" s="1"/>
      <c r="G31" s="7"/>
      <c r="H31" s="7"/>
      <c r="I31" s="7"/>
      <c r="J31" s="7"/>
      <c r="K31" s="7"/>
      <c r="L31" s="7"/>
      <c r="M31" s="7"/>
      <c r="N31" s="7"/>
      <c r="O31" s="7"/>
      <c r="P31" s="8"/>
      <c r="Q31" s="8"/>
      <c r="R31" s="7"/>
      <c r="S31" s="7"/>
      <c r="T31" s="7"/>
      <c r="U31" s="7"/>
      <c r="V31" s="7"/>
      <c r="W31" s="7"/>
      <c r="X31" s="7"/>
      <c r="Y31" s="7"/>
      <c r="Z31" s="7"/>
      <c r="AA31" s="3"/>
    </row>
    <row r="32" spans="6:27" ht="31.5" customHeight="1">
      <c r="F32" s="1"/>
      <c r="G32" s="7"/>
      <c r="H32" s="7"/>
      <c r="I32" s="7"/>
      <c r="J32" s="7"/>
      <c r="K32" s="7"/>
      <c r="L32" s="7"/>
      <c r="M32" s="7"/>
      <c r="N32" s="7"/>
      <c r="O32" s="7"/>
      <c r="P32" s="8"/>
      <c r="Q32" s="8"/>
      <c r="R32" s="7"/>
      <c r="S32" s="7"/>
      <c r="T32" s="7"/>
      <c r="U32" s="7"/>
      <c r="V32" s="7"/>
      <c r="W32" s="7"/>
      <c r="X32" s="7"/>
      <c r="Y32" s="7"/>
      <c r="Z32" s="7"/>
      <c r="AA32" s="3"/>
    </row>
    <row r="33" spans="6:27" ht="31.5" customHeight="1">
      <c r="F33" s="1"/>
      <c r="G33" s="7"/>
      <c r="H33" s="7"/>
      <c r="I33" s="7"/>
      <c r="J33" s="7"/>
      <c r="K33" s="7"/>
      <c r="L33" s="7"/>
      <c r="M33" s="7"/>
      <c r="N33" s="7"/>
      <c r="O33" s="7"/>
      <c r="P33" s="8"/>
      <c r="Q33" s="8"/>
      <c r="R33" s="7"/>
      <c r="S33" s="7"/>
      <c r="T33" s="7"/>
      <c r="U33" s="7"/>
      <c r="V33" s="7"/>
      <c r="W33" s="7"/>
      <c r="X33" s="7"/>
      <c r="Y33" s="7"/>
      <c r="Z33" s="7"/>
      <c r="AA33" s="3"/>
    </row>
    <row r="34" spans="6:27" ht="31.5" customHeight="1">
      <c r="F34" s="1"/>
      <c r="G34" s="7"/>
      <c r="H34" s="7"/>
      <c r="I34" s="7"/>
      <c r="J34" s="7"/>
      <c r="K34" s="7"/>
      <c r="L34" s="7"/>
      <c r="M34" s="7"/>
      <c r="N34" s="7"/>
      <c r="O34" s="7"/>
      <c r="P34" s="8"/>
      <c r="Q34" s="8"/>
      <c r="R34" s="7"/>
      <c r="S34" s="7"/>
      <c r="T34" s="7"/>
      <c r="U34" s="7"/>
      <c r="V34" s="7"/>
      <c r="W34" s="7"/>
      <c r="X34" s="7"/>
      <c r="Y34" s="7"/>
      <c r="Z34" s="7"/>
      <c r="AA34" s="3"/>
    </row>
    <row r="35" spans="6:27" ht="31.5" customHeight="1">
      <c r="F35" s="1"/>
      <c r="G35" s="7"/>
      <c r="H35" s="7"/>
      <c r="I35" s="7"/>
      <c r="J35" s="7"/>
      <c r="K35" s="7"/>
      <c r="L35" s="7"/>
      <c r="M35" s="7"/>
      <c r="N35" s="7"/>
      <c r="O35" s="7"/>
      <c r="P35" s="8"/>
      <c r="Q35" s="8"/>
      <c r="R35" s="7"/>
      <c r="S35" s="7"/>
      <c r="T35" s="7"/>
      <c r="U35" s="7"/>
      <c r="V35" s="7"/>
      <c r="W35" s="7"/>
      <c r="X35" s="7"/>
      <c r="Y35" s="7"/>
      <c r="Z35" s="7"/>
      <c r="AA35" s="3"/>
    </row>
    <row r="45" spans="2:3" ht="31.5" customHeight="1">
      <c r="B45" t="s">
        <v>12</v>
      </c>
      <c r="C45" t="s">
        <v>10</v>
      </c>
    </row>
    <row r="46" spans="2:3" ht="31.5" customHeight="1">
      <c r="B46" t="s">
        <v>11</v>
      </c>
      <c r="C46" t="s">
        <v>8</v>
      </c>
    </row>
    <row r="47" spans="2:3" ht="31.5" customHeight="1">
      <c r="B47" t="s">
        <v>3</v>
      </c>
      <c r="C47" t="s">
        <v>9</v>
      </c>
    </row>
    <row r="48" spans="2:3" ht="31.5" customHeight="1">
      <c r="B48" t="s">
        <v>2</v>
      </c>
      <c r="C48" t="s">
        <v>67</v>
      </c>
    </row>
    <row r="49" spans="2:3" ht="31.5" customHeight="1">
      <c r="B49" t="s">
        <v>5</v>
      </c>
      <c r="C49" t="s">
        <v>30</v>
      </c>
    </row>
    <row r="50" spans="2:3" ht="31.5" customHeight="1">
      <c r="B50" t="s">
        <v>4</v>
      </c>
      <c r="C50" t="s">
        <v>29</v>
      </c>
    </row>
    <row r="51" spans="2:3" ht="31.5" customHeight="1">
      <c r="B51" t="s">
        <v>68</v>
      </c>
      <c r="C51" t="s">
        <v>1</v>
      </c>
    </row>
    <row r="52" spans="2:3" ht="31.5" customHeight="1">
      <c r="B52" t="s">
        <v>69</v>
      </c>
      <c r="C52" t="s">
        <v>0</v>
      </c>
    </row>
  </sheetData>
  <sheetProtection password="E9C6" sheet="1" objects="1" scenarios="1" selectLockedCells="1"/>
  <mergeCells count="9">
    <mergeCell ref="O26:R26"/>
    <mergeCell ref="B1:AB1"/>
    <mergeCell ref="B3:C3"/>
    <mergeCell ref="AB13:AB16"/>
    <mergeCell ref="O3:R3"/>
    <mergeCell ref="B11:B12"/>
    <mergeCell ref="B8:C8"/>
    <mergeCell ref="B13:C13"/>
    <mergeCell ref="E13:E16"/>
  </mergeCells>
  <conditionalFormatting sqref="C23:C24 B14:C14 B10:C10">
    <cfRule type="cellIs" priority="1" dxfId="3" operator="equal" stopIfTrue="1">
      <formula>"FRACO POTENCIAL DE CONSUMO"</formula>
    </cfRule>
    <cfRule type="cellIs" priority="2" dxfId="2" operator="equal" stopIfTrue="1">
      <formula>"MÉDIO POTENCIAL DE CONSUMO"</formula>
    </cfRule>
    <cfRule type="cellIs" priority="3" dxfId="1" operator="equal" stopIfTrue="1">
      <formula>"ALTO POTENCIAL DE CONSUMO"</formula>
    </cfRule>
  </conditionalFormatting>
  <conditionalFormatting sqref="B13:C13">
    <cfRule type="cellIs" priority="4" dxfId="3" operator="equal" stopIfTrue="1">
      <formula>"CLIENTE COM FRACO POTENCIAL DE CONSUMO"</formula>
    </cfRule>
    <cfRule type="cellIs" priority="5" dxfId="2" operator="equal" stopIfTrue="1">
      <formula>"CLIENTE COM MÉDIO POTENCIAL DE CONSUMO"</formula>
    </cfRule>
    <cfRule type="cellIs" priority="6" dxfId="1" operator="equal" stopIfTrue="1">
      <formula>"CLIENTE COM ALTO POTENCIAL DE CONSUMO"</formula>
    </cfRule>
  </conditionalFormatting>
  <conditionalFormatting sqref="G5:Z24">
    <cfRule type="cellIs" priority="7" dxfId="0" operator="equal" stopIfTrue="1">
      <formula>"X"</formula>
    </cfRule>
  </conditionalFormatting>
  <dataValidations count="3">
    <dataValidation type="whole" allowBlank="1" showInputMessage="1" showErrorMessage="1" sqref="C4">
      <formula1>18</formula1>
      <formula2>110</formula2>
    </dataValidation>
    <dataValidation type="list" allowBlank="1" showInputMessage="1" showErrorMessage="1" sqref="C7 C10">
      <formula1>$C$45:$C$52</formula1>
    </dataValidation>
    <dataValidation type="list" allowBlank="1" showInputMessage="1" showErrorMessage="1" sqref="C6">
      <formula1>$B$45:$B$52</formula1>
    </dataValidation>
  </dataValidations>
  <printOptions horizontalCentered="1"/>
  <pageMargins left="0.46" right="0.5118110236220472" top="0.7086614173228347" bottom="0.984251968503937" header="0.5118110236220472" footer="0.5118110236220472"/>
  <pageSetup fitToHeight="1" fitToWidth="1" orientation="portrait" paperSize="9" scale="36" r:id="rId3"/>
  <headerFooter alignWithMargins="0">
    <oddFooter>&amp;LFonte: Livro Repensando Banco de Varejo de Ricardo Coelho &amp;Rwww.ricardocoelhoconsult.com.br</oddFooter>
  </headerFooter>
  <legacyDrawing r:id="rId2"/>
  <oleObjects>
    <oleObject progId="CorelDRAW.Graphic.11" shapeId="15001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showGridLines="0" showRowColHeaders="0" zoomScale="60" zoomScaleNormal="60" zoomScalePageLayoutView="0" workbookViewId="0" topLeftCell="A1">
      <selection activeCell="A43" sqref="A43"/>
    </sheetView>
  </sheetViews>
  <sheetFormatPr defaultColWidth="9.140625" defaultRowHeight="12.75"/>
  <cols>
    <col min="1" max="1" width="11.421875" style="0" customWidth="1"/>
    <col min="2" max="2" width="4.140625" style="0" customWidth="1"/>
    <col min="3" max="22" width="7.140625" style="0" customWidth="1"/>
    <col min="23" max="23" width="3.140625" style="0" customWidth="1"/>
    <col min="24" max="24" width="9.28125" style="0" customWidth="1"/>
  </cols>
  <sheetData>
    <row r="1" spans="1:24" ht="23.25">
      <c r="A1" s="195" t="s">
        <v>27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</row>
    <row r="2" spans="1:24" ht="71.25" customHeight="1">
      <c r="A2" s="196" t="s">
        <v>28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ht="17.25" customHeight="1">
      <c r="C3" s="4"/>
    </row>
    <row r="4" spans="11:14" ht="31.5" customHeight="1">
      <c r="K4" s="179" t="s">
        <v>25</v>
      </c>
      <c r="L4" s="179"/>
      <c r="M4" s="179"/>
      <c r="N4" s="179"/>
    </row>
    <row r="5" spans="2:23" ht="36" customHeight="1" thickBot="1">
      <c r="B5" s="1">
        <v>0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2">
        <v>10</v>
      </c>
      <c r="M5" s="2">
        <v>11</v>
      </c>
      <c r="N5" s="1">
        <v>12</v>
      </c>
      <c r="O5" s="1">
        <v>13</v>
      </c>
      <c r="P5" s="1">
        <v>14</v>
      </c>
      <c r="Q5" s="1">
        <v>15</v>
      </c>
      <c r="R5" s="1">
        <v>16</v>
      </c>
      <c r="S5" s="1">
        <v>17</v>
      </c>
      <c r="T5" s="1">
        <v>18</v>
      </c>
      <c r="U5" s="1">
        <v>19</v>
      </c>
      <c r="V5" s="1">
        <v>20</v>
      </c>
      <c r="W5" s="1"/>
    </row>
    <row r="6" spans="2:23" ht="36" customHeight="1">
      <c r="B6" s="1">
        <v>1</v>
      </c>
      <c r="C6" s="98"/>
      <c r="D6" s="99"/>
      <c r="E6" s="99"/>
      <c r="F6" s="99"/>
      <c r="G6" s="99"/>
      <c r="H6" s="99"/>
      <c r="I6" s="99"/>
      <c r="J6" s="99"/>
      <c r="K6" s="100"/>
      <c r="L6" s="101">
        <v>45</v>
      </c>
      <c r="M6" s="102">
        <v>50</v>
      </c>
      <c r="N6" s="99"/>
      <c r="O6" s="99"/>
      <c r="P6" s="99"/>
      <c r="Q6" s="99"/>
      <c r="R6" s="99"/>
      <c r="S6" s="99"/>
      <c r="T6" s="99"/>
      <c r="U6" s="99"/>
      <c r="V6" s="103"/>
      <c r="W6" s="6">
        <v>1</v>
      </c>
    </row>
    <row r="7" spans="2:23" ht="36" customHeight="1">
      <c r="B7" s="1">
        <v>2</v>
      </c>
      <c r="C7" s="104"/>
      <c r="D7" s="105"/>
      <c r="E7" s="105"/>
      <c r="F7" s="105"/>
      <c r="G7" s="105"/>
      <c r="H7" s="105"/>
      <c r="I7" s="105"/>
      <c r="J7" s="105"/>
      <c r="K7" s="105"/>
      <c r="L7" s="106">
        <v>42</v>
      </c>
      <c r="M7" s="102">
        <v>53</v>
      </c>
      <c r="N7" s="105"/>
      <c r="O7" s="105"/>
      <c r="P7" s="105"/>
      <c r="Q7" s="105"/>
      <c r="R7" s="105"/>
      <c r="S7" s="105"/>
      <c r="T7" s="105"/>
      <c r="U7" s="105"/>
      <c r="V7" s="107"/>
      <c r="W7" s="6">
        <v>2</v>
      </c>
    </row>
    <row r="8" spans="2:23" ht="36" customHeight="1">
      <c r="B8" s="1">
        <v>3</v>
      </c>
      <c r="C8" s="104"/>
      <c r="D8" s="105"/>
      <c r="E8" s="105"/>
      <c r="F8" s="105"/>
      <c r="G8" s="105"/>
      <c r="H8" s="105"/>
      <c r="I8" s="105"/>
      <c r="J8" s="105"/>
      <c r="K8" s="105"/>
      <c r="L8" s="106">
        <v>39</v>
      </c>
      <c r="M8" s="102">
        <v>56</v>
      </c>
      <c r="N8" s="105"/>
      <c r="O8" s="105"/>
      <c r="P8" s="105"/>
      <c r="Q8" s="105"/>
      <c r="R8" s="105"/>
      <c r="S8" s="105"/>
      <c r="T8" s="105"/>
      <c r="U8" s="105"/>
      <c r="V8" s="107"/>
      <c r="W8" s="6">
        <v>3</v>
      </c>
    </row>
    <row r="9" spans="2:23" ht="36" customHeight="1">
      <c r="B9" s="1">
        <v>4</v>
      </c>
      <c r="C9" s="104"/>
      <c r="D9" s="105"/>
      <c r="E9" s="105"/>
      <c r="F9" s="105"/>
      <c r="G9" s="105"/>
      <c r="H9" s="105"/>
      <c r="I9" s="105"/>
      <c r="J9" s="105"/>
      <c r="K9" s="108" t="s">
        <v>6</v>
      </c>
      <c r="L9" s="106">
        <v>36</v>
      </c>
      <c r="M9" s="102">
        <v>60</v>
      </c>
      <c r="N9" s="105"/>
      <c r="O9" s="105"/>
      <c r="P9" s="105"/>
      <c r="Q9" s="105"/>
      <c r="R9" s="105"/>
      <c r="S9" s="105"/>
      <c r="T9" s="105"/>
      <c r="U9" s="105"/>
      <c r="V9" s="107"/>
      <c r="W9" s="6">
        <v>4</v>
      </c>
    </row>
    <row r="10" spans="2:23" ht="36" customHeight="1">
      <c r="B10" s="1">
        <v>5</v>
      </c>
      <c r="C10" s="104"/>
      <c r="D10" s="105"/>
      <c r="E10" s="105"/>
      <c r="F10" s="105"/>
      <c r="G10" s="105"/>
      <c r="H10" s="105"/>
      <c r="I10" s="105"/>
      <c r="J10" s="105"/>
      <c r="K10" s="105"/>
      <c r="L10" s="106">
        <v>33</v>
      </c>
      <c r="M10" s="102">
        <v>65</v>
      </c>
      <c r="N10" s="105"/>
      <c r="O10" s="105"/>
      <c r="P10" s="105"/>
      <c r="Q10" s="105"/>
      <c r="R10" s="105"/>
      <c r="S10" s="105"/>
      <c r="T10" s="105"/>
      <c r="U10" s="105"/>
      <c r="V10" s="107"/>
      <c r="W10" s="6">
        <v>5</v>
      </c>
    </row>
    <row r="11" spans="2:23" ht="36" customHeight="1">
      <c r="B11" s="1">
        <v>6</v>
      </c>
      <c r="C11" s="104"/>
      <c r="D11" s="105"/>
      <c r="E11" s="105"/>
      <c r="F11" s="105"/>
      <c r="G11" s="105"/>
      <c r="H11" s="105"/>
      <c r="I11" s="105"/>
      <c r="J11" s="105"/>
      <c r="K11" s="108"/>
      <c r="L11" s="106">
        <v>30</v>
      </c>
      <c r="M11" s="102">
        <v>70</v>
      </c>
      <c r="N11" s="105"/>
      <c r="O11" s="105"/>
      <c r="P11" s="105"/>
      <c r="Q11" s="105"/>
      <c r="R11" s="105"/>
      <c r="S11" s="105"/>
      <c r="T11" s="105"/>
      <c r="U11" s="105"/>
      <c r="V11" s="107"/>
      <c r="W11" s="6">
        <v>6</v>
      </c>
    </row>
    <row r="12" spans="2:23" ht="36" customHeight="1">
      <c r="B12" s="1">
        <v>7</v>
      </c>
      <c r="C12" s="104"/>
      <c r="D12" s="105"/>
      <c r="E12" s="105"/>
      <c r="F12" s="105"/>
      <c r="G12" s="105"/>
      <c r="H12" s="105"/>
      <c r="I12" s="105"/>
      <c r="J12" s="105"/>
      <c r="K12" s="105"/>
      <c r="L12" s="106">
        <v>27</v>
      </c>
      <c r="M12" s="102">
        <v>75</v>
      </c>
      <c r="N12" s="105"/>
      <c r="O12" s="105"/>
      <c r="P12" s="105"/>
      <c r="Q12" s="105"/>
      <c r="R12" s="105"/>
      <c r="S12" s="105"/>
      <c r="T12" s="105"/>
      <c r="U12" s="105"/>
      <c r="V12" s="107"/>
      <c r="W12" s="6">
        <v>7</v>
      </c>
    </row>
    <row r="13" spans="2:23" ht="36" customHeight="1">
      <c r="B13" s="1">
        <v>8</v>
      </c>
      <c r="C13" s="104"/>
      <c r="D13" s="105"/>
      <c r="E13" s="105"/>
      <c r="F13" s="105"/>
      <c r="G13" s="105"/>
      <c r="H13" s="105"/>
      <c r="I13" s="105"/>
      <c r="J13" s="105"/>
      <c r="K13" s="108"/>
      <c r="L13" s="106">
        <v>23</v>
      </c>
      <c r="M13" s="102">
        <v>80</v>
      </c>
      <c r="N13" s="105"/>
      <c r="O13" s="109"/>
      <c r="P13" s="109"/>
      <c r="Q13" s="109"/>
      <c r="R13" s="109"/>
      <c r="S13" s="109"/>
      <c r="T13" s="109"/>
      <c r="U13" s="109"/>
      <c r="V13" s="110"/>
      <c r="W13" s="6">
        <v>8</v>
      </c>
    </row>
    <row r="14" spans="1:24" ht="36" customHeight="1">
      <c r="A14" s="185" t="s">
        <v>26</v>
      </c>
      <c r="B14" s="1">
        <v>9</v>
      </c>
      <c r="C14" s="104"/>
      <c r="D14" s="105"/>
      <c r="E14" s="105"/>
      <c r="F14" s="105"/>
      <c r="G14" s="105"/>
      <c r="H14" s="105"/>
      <c r="I14" s="105"/>
      <c r="J14" s="105"/>
      <c r="K14" s="108"/>
      <c r="L14" s="106">
        <v>18</v>
      </c>
      <c r="M14" s="102">
        <v>90</v>
      </c>
      <c r="N14" s="200" t="s">
        <v>23</v>
      </c>
      <c r="O14" s="191" t="s">
        <v>24</v>
      </c>
      <c r="P14" s="191" t="s">
        <v>13</v>
      </c>
      <c r="Q14" s="193" t="s">
        <v>14</v>
      </c>
      <c r="R14" s="193" t="s">
        <v>15</v>
      </c>
      <c r="S14" s="193" t="s">
        <v>16</v>
      </c>
      <c r="T14" s="191" t="s">
        <v>17</v>
      </c>
      <c r="U14" s="191" t="s">
        <v>18</v>
      </c>
      <c r="V14" s="202" t="s">
        <v>19</v>
      </c>
      <c r="W14" s="6">
        <v>9</v>
      </c>
      <c r="X14" s="178" t="s">
        <v>20</v>
      </c>
    </row>
    <row r="15" spans="1:24" ht="36" customHeight="1" thickBot="1">
      <c r="A15" s="185"/>
      <c r="B15" s="1">
        <v>10</v>
      </c>
      <c r="C15" s="111"/>
      <c r="D15" s="112"/>
      <c r="E15" s="112"/>
      <c r="F15" s="112"/>
      <c r="G15" s="112"/>
      <c r="H15" s="112"/>
      <c r="I15" s="112"/>
      <c r="J15" s="112"/>
      <c r="K15" s="112"/>
      <c r="L15" s="113"/>
      <c r="M15" s="114"/>
      <c r="N15" s="201"/>
      <c r="O15" s="192"/>
      <c r="P15" s="192"/>
      <c r="Q15" s="194"/>
      <c r="R15" s="194"/>
      <c r="S15" s="194"/>
      <c r="T15" s="192"/>
      <c r="U15" s="192"/>
      <c r="V15" s="203"/>
      <c r="W15" s="6">
        <v>10</v>
      </c>
      <c r="X15" s="178"/>
    </row>
    <row r="16" spans="1:24" ht="36" customHeight="1" thickTop="1">
      <c r="A16" s="185"/>
      <c r="B16" s="1">
        <v>11</v>
      </c>
      <c r="C16" s="197" t="s">
        <v>10</v>
      </c>
      <c r="D16" s="186" t="s">
        <v>9</v>
      </c>
      <c r="E16" s="186" t="s">
        <v>29</v>
      </c>
      <c r="F16" s="186" t="s">
        <v>8</v>
      </c>
      <c r="G16" s="186" t="s">
        <v>30</v>
      </c>
      <c r="H16" s="186" t="s">
        <v>7</v>
      </c>
      <c r="I16" s="105"/>
      <c r="J16" s="186" t="s">
        <v>1</v>
      </c>
      <c r="K16" s="186" t="s">
        <v>0</v>
      </c>
      <c r="L16" s="115"/>
      <c r="M16" s="105"/>
      <c r="N16" s="116"/>
      <c r="O16" s="116"/>
      <c r="P16" s="116"/>
      <c r="Q16" s="105"/>
      <c r="R16" s="105"/>
      <c r="S16" s="116"/>
      <c r="T16" s="116"/>
      <c r="U16" s="116"/>
      <c r="V16" s="117"/>
      <c r="W16" s="6">
        <v>11</v>
      </c>
      <c r="X16" s="178"/>
    </row>
    <row r="17" spans="1:24" ht="36" customHeight="1">
      <c r="A17" s="185"/>
      <c r="B17" s="1">
        <v>12</v>
      </c>
      <c r="C17" s="198"/>
      <c r="D17" s="189"/>
      <c r="E17" s="187"/>
      <c r="F17" s="187"/>
      <c r="G17" s="187"/>
      <c r="H17" s="187"/>
      <c r="I17" s="105"/>
      <c r="J17" s="187"/>
      <c r="K17" s="187"/>
      <c r="L17" s="118"/>
      <c r="M17" s="119" t="s">
        <v>11</v>
      </c>
      <c r="N17" s="120"/>
      <c r="O17" s="120"/>
      <c r="P17" s="120"/>
      <c r="Q17" s="105"/>
      <c r="R17" s="105"/>
      <c r="S17" s="105"/>
      <c r="T17" s="105"/>
      <c r="U17" s="105"/>
      <c r="V17" s="107"/>
      <c r="W17" s="6">
        <v>12</v>
      </c>
      <c r="X17" s="178"/>
    </row>
    <row r="18" spans="2:23" ht="36" customHeight="1">
      <c r="B18" s="1">
        <v>13</v>
      </c>
      <c r="C18" s="198"/>
      <c r="D18" s="189"/>
      <c r="E18" s="187"/>
      <c r="F18" s="187"/>
      <c r="G18" s="187"/>
      <c r="H18" s="187"/>
      <c r="I18" s="105"/>
      <c r="J18" s="187"/>
      <c r="K18" s="187"/>
      <c r="L18" s="121"/>
      <c r="M18" s="119" t="s">
        <v>12</v>
      </c>
      <c r="N18" s="105"/>
      <c r="O18" s="105"/>
      <c r="P18" s="105"/>
      <c r="Q18" s="105"/>
      <c r="R18" s="105"/>
      <c r="S18" s="105"/>
      <c r="T18" s="105"/>
      <c r="U18" s="105"/>
      <c r="V18" s="107"/>
      <c r="W18" s="6">
        <v>13</v>
      </c>
    </row>
    <row r="19" spans="2:23" ht="36" customHeight="1">
      <c r="B19" s="1">
        <v>14</v>
      </c>
      <c r="C19" s="199"/>
      <c r="D19" s="190"/>
      <c r="E19" s="188"/>
      <c r="F19" s="188"/>
      <c r="G19" s="188"/>
      <c r="H19" s="188"/>
      <c r="I19" s="105"/>
      <c r="J19" s="188"/>
      <c r="K19" s="188"/>
      <c r="L19" s="122"/>
      <c r="M19" s="119" t="s">
        <v>2</v>
      </c>
      <c r="N19" s="105"/>
      <c r="O19" s="105"/>
      <c r="P19" s="105"/>
      <c r="Q19" s="105"/>
      <c r="R19" s="105"/>
      <c r="S19" s="105"/>
      <c r="T19" s="105"/>
      <c r="U19" s="105"/>
      <c r="V19" s="107"/>
      <c r="W19" s="6">
        <v>14</v>
      </c>
    </row>
    <row r="20" spans="2:23" ht="36" customHeight="1">
      <c r="B20" s="1">
        <v>15</v>
      </c>
      <c r="C20" s="104"/>
      <c r="D20" s="105"/>
      <c r="E20" s="105"/>
      <c r="F20" s="105"/>
      <c r="G20" s="105"/>
      <c r="H20" s="105"/>
      <c r="I20" s="105"/>
      <c r="J20" s="105"/>
      <c r="K20" s="105"/>
      <c r="L20" s="121"/>
      <c r="M20" s="119" t="s">
        <v>3</v>
      </c>
      <c r="N20" s="105"/>
      <c r="O20" s="105"/>
      <c r="P20" s="105"/>
      <c r="Q20" s="105"/>
      <c r="R20" s="105"/>
      <c r="S20" s="105"/>
      <c r="T20" s="105"/>
      <c r="U20" s="105"/>
      <c r="V20" s="107"/>
      <c r="W20" s="6">
        <v>15</v>
      </c>
    </row>
    <row r="21" spans="2:23" ht="36" customHeight="1">
      <c r="B21" s="1">
        <v>16</v>
      </c>
      <c r="C21" s="104"/>
      <c r="D21" s="105"/>
      <c r="E21" s="105"/>
      <c r="F21" s="105"/>
      <c r="G21" s="105"/>
      <c r="H21" s="105"/>
      <c r="I21" s="105"/>
      <c r="J21" s="105"/>
      <c r="K21" s="105"/>
      <c r="L21" s="121"/>
      <c r="M21" s="123"/>
      <c r="N21" s="105"/>
      <c r="O21" s="105"/>
      <c r="P21" s="105"/>
      <c r="Q21" s="105"/>
      <c r="R21" s="105"/>
      <c r="S21" s="105"/>
      <c r="T21" s="105"/>
      <c r="U21" s="105"/>
      <c r="V21" s="107"/>
      <c r="W21" s="6">
        <v>16</v>
      </c>
    </row>
    <row r="22" spans="2:23" ht="36" customHeight="1">
      <c r="B22" s="1">
        <v>17</v>
      </c>
      <c r="C22" s="104"/>
      <c r="D22" s="105"/>
      <c r="E22" s="105"/>
      <c r="F22" s="105"/>
      <c r="G22" s="105"/>
      <c r="H22" s="105"/>
      <c r="I22" s="105"/>
      <c r="J22" s="105"/>
      <c r="K22" s="105"/>
      <c r="L22" s="121"/>
      <c r="M22" s="119" t="s">
        <v>4</v>
      </c>
      <c r="N22" s="105"/>
      <c r="O22" s="105"/>
      <c r="P22" s="105"/>
      <c r="Q22" s="105"/>
      <c r="R22" s="105"/>
      <c r="S22" s="105"/>
      <c r="T22" s="105"/>
      <c r="U22" s="105"/>
      <c r="V22" s="107"/>
      <c r="W22" s="6">
        <v>17</v>
      </c>
    </row>
    <row r="23" spans="2:23" ht="36" customHeight="1">
      <c r="B23" s="1">
        <v>18</v>
      </c>
      <c r="C23" s="104"/>
      <c r="D23" s="105"/>
      <c r="E23" s="105"/>
      <c r="F23" s="105"/>
      <c r="G23" s="105"/>
      <c r="H23" s="105"/>
      <c r="I23" s="105"/>
      <c r="J23" s="105"/>
      <c r="K23" s="105"/>
      <c r="L23" s="121"/>
      <c r="M23" s="119" t="s">
        <v>5</v>
      </c>
      <c r="N23" s="105"/>
      <c r="O23" s="105"/>
      <c r="P23" s="105"/>
      <c r="Q23" s="105"/>
      <c r="R23" s="105"/>
      <c r="S23" s="105"/>
      <c r="T23" s="105"/>
      <c r="U23" s="105"/>
      <c r="V23" s="107"/>
      <c r="W23" s="6">
        <v>18</v>
      </c>
    </row>
    <row r="24" spans="2:23" ht="36" customHeight="1">
      <c r="B24" s="1">
        <v>19</v>
      </c>
      <c r="C24" s="104"/>
      <c r="D24" s="105"/>
      <c r="E24" s="105"/>
      <c r="F24" s="105"/>
      <c r="G24" s="105"/>
      <c r="H24" s="105"/>
      <c r="I24" s="105"/>
      <c r="J24" s="105"/>
      <c r="K24" s="105"/>
      <c r="L24" s="121"/>
      <c r="M24" s="119" t="s">
        <v>69</v>
      </c>
      <c r="N24" s="105"/>
      <c r="O24" s="105"/>
      <c r="P24" s="105"/>
      <c r="Q24" s="105"/>
      <c r="R24" s="105"/>
      <c r="S24" s="105"/>
      <c r="T24" s="105"/>
      <c r="U24" s="105"/>
      <c r="V24" s="107"/>
      <c r="W24" s="6">
        <v>19</v>
      </c>
    </row>
    <row r="25" spans="2:23" ht="36" customHeight="1" thickBot="1">
      <c r="B25" s="1">
        <v>20</v>
      </c>
      <c r="C25" s="124"/>
      <c r="D25" s="125"/>
      <c r="E25" s="125"/>
      <c r="F25" s="125"/>
      <c r="G25" s="125"/>
      <c r="H25" s="125"/>
      <c r="I25" s="125"/>
      <c r="J25" s="125"/>
      <c r="K25" s="125"/>
      <c r="L25" s="126"/>
      <c r="M25" s="127" t="s">
        <v>68</v>
      </c>
      <c r="N25" s="125"/>
      <c r="O25" s="125"/>
      <c r="P25" s="125"/>
      <c r="Q25" s="125"/>
      <c r="R25" s="125"/>
      <c r="S25" s="125"/>
      <c r="T25" s="125"/>
      <c r="U25" s="125"/>
      <c r="V25" s="128"/>
      <c r="W25" s="6">
        <v>20</v>
      </c>
    </row>
    <row r="26" spans="2:23" ht="18.75" customHeight="1">
      <c r="B26" s="1"/>
      <c r="C26" s="7">
        <v>1</v>
      </c>
      <c r="D26" s="7">
        <v>2</v>
      </c>
      <c r="E26" s="7">
        <v>3</v>
      </c>
      <c r="F26" s="7">
        <v>4</v>
      </c>
      <c r="G26" s="7">
        <v>5</v>
      </c>
      <c r="H26" s="7">
        <v>6</v>
      </c>
      <c r="I26" s="7">
        <v>7</v>
      </c>
      <c r="J26" s="7">
        <v>8</v>
      </c>
      <c r="K26" s="7">
        <v>9</v>
      </c>
      <c r="L26" s="8">
        <v>10</v>
      </c>
      <c r="M26" s="8">
        <v>11</v>
      </c>
      <c r="N26" s="7">
        <v>12</v>
      </c>
      <c r="O26" s="7">
        <v>13</v>
      </c>
      <c r="P26" s="7">
        <v>14</v>
      </c>
      <c r="Q26" s="7">
        <v>15</v>
      </c>
      <c r="R26" s="7">
        <v>16</v>
      </c>
      <c r="S26" s="7">
        <v>17</v>
      </c>
      <c r="T26" s="7">
        <v>18</v>
      </c>
      <c r="U26" s="7">
        <v>19</v>
      </c>
      <c r="V26" s="7">
        <v>20</v>
      </c>
      <c r="W26" s="3"/>
    </row>
    <row r="27" spans="2:23" ht="36" customHeight="1">
      <c r="B27" s="1"/>
      <c r="C27" s="3"/>
      <c r="D27" s="3"/>
      <c r="E27" s="3"/>
      <c r="F27" s="3"/>
      <c r="G27" s="3"/>
      <c r="H27" s="3"/>
      <c r="I27" s="3"/>
      <c r="J27" s="3"/>
      <c r="K27" s="172" t="s">
        <v>21</v>
      </c>
      <c r="L27" s="173"/>
      <c r="M27" s="173"/>
      <c r="N27" s="173"/>
      <c r="O27" s="3"/>
      <c r="P27" s="3"/>
      <c r="Q27" s="3"/>
      <c r="R27" s="3"/>
      <c r="S27" s="3"/>
      <c r="T27" s="3"/>
      <c r="U27" s="3"/>
      <c r="V27" s="3"/>
      <c r="W27" s="3"/>
    </row>
    <row r="28" ht="18">
      <c r="C28" s="4"/>
    </row>
  </sheetData>
  <sheetProtection password="E9C6" sheet="1" objects="1" scenarios="1" selectLockedCells="1" selectUnlockedCells="1"/>
  <mergeCells count="23">
    <mergeCell ref="O14:O15"/>
    <mergeCell ref="N14:N15"/>
    <mergeCell ref="Q14:Q15"/>
    <mergeCell ref="V14:V15"/>
    <mergeCell ref="K4:N4"/>
    <mergeCell ref="P14:P15"/>
    <mergeCell ref="S14:S15"/>
    <mergeCell ref="T14:T15"/>
    <mergeCell ref="U14:U15"/>
    <mergeCell ref="R14:R15"/>
    <mergeCell ref="A1:X1"/>
    <mergeCell ref="A2:X2"/>
    <mergeCell ref="A14:A17"/>
    <mergeCell ref="C16:C19"/>
    <mergeCell ref="X14:X17"/>
    <mergeCell ref="K27:N27"/>
    <mergeCell ref="J16:J19"/>
    <mergeCell ref="D16:D19"/>
    <mergeCell ref="K16:K19"/>
    <mergeCell ref="H16:H19"/>
    <mergeCell ref="G16:G19"/>
    <mergeCell ref="F16:F19"/>
    <mergeCell ref="E16:E19"/>
  </mergeCells>
  <dataValidations count="1">
    <dataValidation type="list" allowBlank="1" showInputMessage="1" showErrorMessage="1" sqref="AV4:AV11">
      <formula1>$I$5:$I$12</formula1>
    </dataValidation>
  </dataValidations>
  <printOptions horizontalCentered="1"/>
  <pageMargins left="0.7480314960629921" right="0.7874015748031497" top="0.43" bottom="0.5118110236220472" header="0.31496062992125984" footer="0.31496062992125984"/>
  <pageSetup fitToHeight="1" fitToWidth="1" horizontalDpi="300" verticalDpi="300" orientation="landscape" paperSize="9" scale="57" r:id="rId3"/>
  <headerFooter alignWithMargins="0">
    <oddFooter>&amp;LFonte: Livro: Repensando Banco de Varejo de Ricardo Coelho&amp;Rwww.ricardocoelhoconsult.com.br
</oddFooter>
  </headerFooter>
  <legacyDrawing r:id="rId2"/>
  <oleObjects>
    <oleObject progId="CorelDRAW.Graphic.11" shapeId="14788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showGridLines="0" showRowColHeaders="0" zoomScale="60" zoomScaleNormal="60" zoomScalePageLayoutView="0" workbookViewId="0" topLeftCell="A1">
      <selection activeCell="Y12" sqref="Y12"/>
    </sheetView>
  </sheetViews>
  <sheetFormatPr defaultColWidth="9.140625" defaultRowHeight="12.75"/>
  <cols>
    <col min="1" max="1" width="10.8515625" style="0" customWidth="1"/>
    <col min="2" max="2" width="4.140625" style="0" customWidth="1"/>
    <col min="3" max="22" width="7.140625" style="0" customWidth="1"/>
    <col min="23" max="23" width="3.8515625" style="0" customWidth="1"/>
  </cols>
  <sheetData>
    <row r="1" spans="1:24" ht="23.25">
      <c r="A1" s="195" t="s">
        <v>27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</row>
    <row r="2" spans="1:24" ht="53.25" customHeight="1">
      <c r="A2" s="206" t="s">
        <v>41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</row>
    <row r="3" ht="17.25" customHeight="1">
      <c r="C3" s="4"/>
    </row>
    <row r="4" spans="11:14" ht="31.5" customHeight="1">
      <c r="K4" s="179" t="s">
        <v>25</v>
      </c>
      <c r="L4" s="179"/>
      <c r="M4" s="179"/>
      <c r="N4" s="179"/>
    </row>
    <row r="5" spans="2:23" ht="15" customHeight="1" thickBot="1">
      <c r="B5" s="1">
        <v>0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2">
        <v>10</v>
      </c>
      <c r="M5" s="2">
        <v>11</v>
      </c>
      <c r="N5" s="1">
        <v>12</v>
      </c>
      <c r="O5" s="1">
        <v>13</v>
      </c>
      <c r="P5" s="1">
        <v>14</v>
      </c>
      <c r="Q5" s="1">
        <v>15</v>
      </c>
      <c r="R5" s="1">
        <v>16</v>
      </c>
      <c r="S5" s="1">
        <v>17</v>
      </c>
      <c r="T5" s="1">
        <v>18</v>
      </c>
      <c r="U5" s="1">
        <v>19</v>
      </c>
      <c r="V5" s="1">
        <v>20</v>
      </c>
      <c r="W5" s="1"/>
    </row>
    <row r="6" spans="2:23" ht="36" customHeight="1">
      <c r="B6" s="1">
        <v>1</v>
      </c>
      <c r="C6" s="98"/>
      <c r="D6" s="99"/>
      <c r="E6" s="99"/>
      <c r="F6" s="99"/>
      <c r="G6" s="99"/>
      <c r="H6" s="99"/>
      <c r="I6" s="99"/>
      <c r="J6" s="99"/>
      <c r="K6" s="100"/>
      <c r="L6" s="101">
        <v>45</v>
      </c>
      <c r="M6" s="102">
        <v>50</v>
      </c>
      <c r="N6" s="99"/>
      <c r="O6" s="99"/>
      <c r="P6" s="99"/>
      <c r="Q6" s="99"/>
      <c r="R6" s="99"/>
      <c r="S6" s="99"/>
      <c r="T6" s="99"/>
      <c r="U6" s="99"/>
      <c r="V6" s="103"/>
      <c r="W6" s="6">
        <v>1</v>
      </c>
    </row>
    <row r="7" spans="2:23" ht="36" customHeight="1">
      <c r="B7" s="1">
        <v>2</v>
      </c>
      <c r="C7" s="104"/>
      <c r="D7" s="105"/>
      <c r="E7" s="105"/>
      <c r="F7" s="105"/>
      <c r="G7" s="105"/>
      <c r="H7" s="105"/>
      <c r="I7" s="105"/>
      <c r="J7" s="105"/>
      <c r="K7" s="105"/>
      <c r="L7" s="106">
        <v>42</v>
      </c>
      <c r="M7" s="102">
        <v>53</v>
      </c>
      <c r="N7" s="105"/>
      <c r="O7" s="105"/>
      <c r="P7" s="105"/>
      <c r="Q7" s="105"/>
      <c r="R7" s="105"/>
      <c r="S7" s="105"/>
      <c r="T7" s="105"/>
      <c r="U7" s="105"/>
      <c r="V7" s="107"/>
      <c r="W7" s="6">
        <v>2</v>
      </c>
    </row>
    <row r="8" spans="2:23" ht="36" customHeight="1">
      <c r="B8" s="1">
        <v>3</v>
      </c>
      <c r="C8" s="104"/>
      <c r="D8" s="105"/>
      <c r="E8" s="105"/>
      <c r="F8" s="105"/>
      <c r="G8" s="105"/>
      <c r="H8" s="105"/>
      <c r="I8" s="105"/>
      <c r="J8" s="105"/>
      <c r="K8" s="105"/>
      <c r="L8" s="106">
        <v>39</v>
      </c>
      <c r="M8" s="102">
        <v>56</v>
      </c>
      <c r="N8" s="105"/>
      <c r="O8" s="105"/>
      <c r="P8" s="105"/>
      <c r="Q8" s="105"/>
      <c r="R8" s="105"/>
      <c r="S8" s="105"/>
      <c r="T8" s="105"/>
      <c r="U8" s="105"/>
      <c r="V8" s="107"/>
      <c r="W8" s="6">
        <v>3</v>
      </c>
    </row>
    <row r="9" spans="2:23" ht="36" customHeight="1">
      <c r="B9" s="1">
        <v>4</v>
      </c>
      <c r="C9" s="104"/>
      <c r="D9" s="105"/>
      <c r="E9" s="105"/>
      <c r="F9" s="105"/>
      <c r="G9" s="105"/>
      <c r="H9" s="105"/>
      <c r="I9" s="105"/>
      <c r="J9" s="105"/>
      <c r="K9" s="108" t="s">
        <v>6</v>
      </c>
      <c r="L9" s="106">
        <v>36</v>
      </c>
      <c r="M9" s="102">
        <v>60</v>
      </c>
      <c r="N9" s="105"/>
      <c r="O9" s="105"/>
      <c r="P9" s="105"/>
      <c r="Q9" s="105"/>
      <c r="R9" s="105"/>
      <c r="S9" s="105"/>
      <c r="T9" s="105"/>
      <c r="U9" s="105"/>
      <c r="V9" s="107"/>
      <c r="W9" s="6">
        <v>4</v>
      </c>
    </row>
    <row r="10" spans="2:23" ht="36" customHeight="1">
      <c r="B10" s="1">
        <v>5</v>
      </c>
      <c r="C10" s="104"/>
      <c r="D10" s="105"/>
      <c r="E10" s="105"/>
      <c r="F10" s="105"/>
      <c r="G10" s="105"/>
      <c r="H10" s="105"/>
      <c r="I10" s="105"/>
      <c r="J10" s="105"/>
      <c r="K10" s="105"/>
      <c r="L10" s="106">
        <v>33</v>
      </c>
      <c r="M10" s="102">
        <v>65</v>
      </c>
      <c r="N10" s="105"/>
      <c r="O10" s="105"/>
      <c r="P10" s="105"/>
      <c r="Q10" s="105"/>
      <c r="R10" s="105"/>
      <c r="S10" s="105"/>
      <c r="T10" s="105"/>
      <c r="U10" s="105"/>
      <c r="V10" s="107"/>
      <c r="W10" s="6">
        <v>5</v>
      </c>
    </row>
    <row r="11" spans="2:23" ht="36" customHeight="1">
      <c r="B11" s="1">
        <v>6</v>
      </c>
      <c r="C11" s="104"/>
      <c r="D11" s="105"/>
      <c r="E11" s="105"/>
      <c r="F11" s="105"/>
      <c r="G11" s="105"/>
      <c r="H11" s="105"/>
      <c r="I11" s="105"/>
      <c r="J11" s="105"/>
      <c r="K11" s="131"/>
      <c r="L11" s="132">
        <v>30</v>
      </c>
      <c r="M11" s="133">
        <v>70</v>
      </c>
      <c r="N11" s="134"/>
      <c r="O11" s="134"/>
      <c r="P11" s="134"/>
      <c r="Q11" s="105"/>
      <c r="R11" s="105"/>
      <c r="S11" s="105"/>
      <c r="T11" s="105"/>
      <c r="U11" s="105"/>
      <c r="V11" s="107"/>
      <c r="W11" s="6">
        <v>6</v>
      </c>
    </row>
    <row r="12" spans="2:23" ht="36" customHeight="1" thickBot="1">
      <c r="B12" s="1">
        <v>7</v>
      </c>
      <c r="C12" s="104"/>
      <c r="D12" s="105"/>
      <c r="E12" s="105"/>
      <c r="F12" s="105"/>
      <c r="G12" s="105"/>
      <c r="H12" s="131"/>
      <c r="I12" s="105"/>
      <c r="J12" s="105"/>
      <c r="K12" s="134"/>
      <c r="L12" s="132">
        <v>27</v>
      </c>
      <c r="M12" s="133">
        <v>75</v>
      </c>
      <c r="N12" s="134"/>
      <c r="O12" s="134"/>
      <c r="P12" s="134"/>
      <c r="Q12" s="131"/>
      <c r="R12" s="105"/>
      <c r="S12" s="105"/>
      <c r="T12" s="105"/>
      <c r="U12" s="105"/>
      <c r="V12" s="107"/>
      <c r="W12" s="6">
        <v>7</v>
      </c>
    </row>
    <row r="13" spans="2:23" ht="36" customHeight="1">
      <c r="B13" s="1">
        <v>8</v>
      </c>
      <c r="C13" s="104"/>
      <c r="D13" s="105"/>
      <c r="E13" s="105"/>
      <c r="F13" s="105"/>
      <c r="G13" s="105"/>
      <c r="H13" s="105"/>
      <c r="I13" s="105"/>
      <c r="J13" s="135"/>
      <c r="K13" s="142"/>
      <c r="L13" s="39">
        <v>23</v>
      </c>
      <c r="M13" s="143">
        <v>80</v>
      </c>
      <c r="N13" s="62"/>
      <c r="O13" s="144"/>
      <c r="P13" s="145"/>
      <c r="Q13" s="136"/>
      <c r="R13" s="109"/>
      <c r="S13" s="109"/>
      <c r="T13" s="109"/>
      <c r="U13" s="109"/>
      <c r="V13" s="110"/>
      <c r="W13" s="6">
        <v>8</v>
      </c>
    </row>
    <row r="14" spans="1:24" ht="36" customHeight="1">
      <c r="A14" s="185" t="s">
        <v>22</v>
      </c>
      <c r="B14" s="1">
        <v>9</v>
      </c>
      <c r="C14" s="104"/>
      <c r="D14" s="105"/>
      <c r="E14" s="105"/>
      <c r="F14" s="105"/>
      <c r="G14" s="105"/>
      <c r="H14" s="105"/>
      <c r="I14" s="105"/>
      <c r="J14" s="135"/>
      <c r="K14" s="146"/>
      <c r="L14" s="44">
        <v>18</v>
      </c>
      <c r="M14" s="40">
        <v>90</v>
      </c>
      <c r="N14" s="210" t="s">
        <v>23</v>
      </c>
      <c r="O14" s="208" t="s">
        <v>24</v>
      </c>
      <c r="P14" s="204" t="s">
        <v>13</v>
      </c>
      <c r="Q14" s="212" t="s">
        <v>14</v>
      </c>
      <c r="R14" s="193" t="s">
        <v>15</v>
      </c>
      <c r="S14" s="193" t="s">
        <v>16</v>
      </c>
      <c r="T14" s="191" t="s">
        <v>17</v>
      </c>
      <c r="U14" s="191" t="s">
        <v>18</v>
      </c>
      <c r="V14" s="202" t="s">
        <v>19</v>
      </c>
      <c r="W14" s="6">
        <v>9</v>
      </c>
      <c r="X14" s="178" t="s">
        <v>20</v>
      </c>
    </row>
    <row r="15" spans="1:24" ht="36" customHeight="1" thickBot="1">
      <c r="A15" s="185"/>
      <c r="B15" s="1">
        <v>10</v>
      </c>
      <c r="C15" s="111"/>
      <c r="D15" s="112"/>
      <c r="E15" s="112"/>
      <c r="F15" s="112"/>
      <c r="G15" s="112"/>
      <c r="H15" s="112"/>
      <c r="I15" s="112"/>
      <c r="J15" s="137"/>
      <c r="K15" s="48"/>
      <c r="L15" s="50"/>
      <c r="M15" s="51"/>
      <c r="N15" s="211"/>
      <c r="O15" s="209"/>
      <c r="P15" s="205"/>
      <c r="Q15" s="201"/>
      <c r="R15" s="194"/>
      <c r="S15" s="194"/>
      <c r="T15" s="192"/>
      <c r="U15" s="192"/>
      <c r="V15" s="203"/>
      <c r="W15" s="6">
        <v>10</v>
      </c>
      <c r="X15" s="178"/>
    </row>
    <row r="16" spans="1:24" ht="36" customHeight="1" thickTop="1">
      <c r="A16" s="185"/>
      <c r="B16" s="1">
        <v>11</v>
      </c>
      <c r="C16" s="197" t="s">
        <v>10</v>
      </c>
      <c r="D16" s="186" t="s">
        <v>9</v>
      </c>
      <c r="E16" s="186" t="s">
        <v>29</v>
      </c>
      <c r="F16" s="186" t="s">
        <v>8</v>
      </c>
      <c r="G16" s="186" t="s">
        <v>30</v>
      </c>
      <c r="H16" s="186" t="s">
        <v>7</v>
      </c>
      <c r="I16" s="105"/>
      <c r="J16" s="213" t="s">
        <v>1</v>
      </c>
      <c r="K16" s="216" t="s">
        <v>0</v>
      </c>
      <c r="L16" s="52"/>
      <c r="M16" s="43"/>
      <c r="N16" s="53"/>
      <c r="O16" s="53"/>
      <c r="P16" s="54"/>
      <c r="Q16" s="138"/>
      <c r="R16" s="116"/>
      <c r="S16" s="116"/>
      <c r="T16" s="116"/>
      <c r="U16" s="116"/>
      <c r="V16" s="117"/>
      <c r="W16" s="6">
        <v>11</v>
      </c>
      <c r="X16" s="178"/>
    </row>
    <row r="17" spans="2:24" ht="36" customHeight="1">
      <c r="B17" s="1">
        <v>12</v>
      </c>
      <c r="C17" s="198"/>
      <c r="D17" s="189"/>
      <c r="E17" s="187"/>
      <c r="F17" s="187"/>
      <c r="G17" s="187"/>
      <c r="H17" s="187"/>
      <c r="I17" s="105"/>
      <c r="J17" s="214"/>
      <c r="K17" s="217"/>
      <c r="L17" s="55"/>
      <c r="M17" s="56" t="s">
        <v>11</v>
      </c>
      <c r="N17" s="57"/>
      <c r="O17" s="57"/>
      <c r="P17" s="147"/>
      <c r="Q17" s="139"/>
      <c r="R17" s="105"/>
      <c r="S17" s="105"/>
      <c r="T17" s="105"/>
      <c r="U17" s="105"/>
      <c r="V17" s="107"/>
      <c r="W17" s="6">
        <v>12</v>
      </c>
      <c r="X17" s="178"/>
    </row>
    <row r="18" spans="2:23" ht="36" customHeight="1">
      <c r="B18" s="1">
        <v>13</v>
      </c>
      <c r="C18" s="198"/>
      <c r="D18" s="189"/>
      <c r="E18" s="187"/>
      <c r="F18" s="187"/>
      <c r="G18" s="187"/>
      <c r="H18" s="187"/>
      <c r="I18" s="105"/>
      <c r="J18" s="214"/>
      <c r="K18" s="217"/>
      <c r="L18" s="58"/>
      <c r="M18" s="56" t="s">
        <v>12</v>
      </c>
      <c r="N18" s="43"/>
      <c r="O18" s="43"/>
      <c r="P18" s="45"/>
      <c r="Q18" s="139"/>
      <c r="R18" s="105"/>
      <c r="S18" s="105"/>
      <c r="T18" s="105"/>
      <c r="U18" s="105"/>
      <c r="V18" s="107"/>
      <c r="W18" s="6">
        <v>13</v>
      </c>
    </row>
    <row r="19" spans="2:23" ht="36" customHeight="1">
      <c r="B19" s="1">
        <v>14</v>
      </c>
      <c r="C19" s="199"/>
      <c r="D19" s="190"/>
      <c r="E19" s="188"/>
      <c r="F19" s="188"/>
      <c r="G19" s="188"/>
      <c r="H19" s="188"/>
      <c r="I19" s="105"/>
      <c r="J19" s="215"/>
      <c r="K19" s="218"/>
      <c r="L19" s="59"/>
      <c r="M19" s="56" t="s">
        <v>2</v>
      </c>
      <c r="N19" s="43"/>
      <c r="O19" s="43"/>
      <c r="P19" s="45"/>
      <c r="Q19" s="139"/>
      <c r="R19" s="105"/>
      <c r="S19" s="105"/>
      <c r="T19" s="105"/>
      <c r="U19" s="105"/>
      <c r="V19" s="107"/>
      <c r="W19" s="6">
        <v>14</v>
      </c>
    </row>
    <row r="20" spans="2:23" ht="36" customHeight="1" thickBot="1">
      <c r="B20" s="1">
        <v>15</v>
      </c>
      <c r="C20" s="104"/>
      <c r="D20" s="105"/>
      <c r="E20" s="105"/>
      <c r="F20" s="105"/>
      <c r="G20" s="105"/>
      <c r="H20" s="105"/>
      <c r="I20" s="105"/>
      <c r="J20" s="135"/>
      <c r="K20" s="148"/>
      <c r="L20" s="149"/>
      <c r="M20" s="60" t="s">
        <v>3</v>
      </c>
      <c r="N20" s="150"/>
      <c r="O20" s="150"/>
      <c r="P20" s="151"/>
      <c r="Q20" s="139"/>
      <c r="R20" s="105"/>
      <c r="S20" s="105"/>
      <c r="T20" s="105"/>
      <c r="U20" s="105"/>
      <c r="V20" s="107"/>
      <c r="W20" s="6">
        <v>15</v>
      </c>
    </row>
    <row r="21" spans="2:23" ht="36" customHeight="1">
      <c r="B21" s="1">
        <v>16</v>
      </c>
      <c r="C21" s="104"/>
      <c r="D21" s="105"/>
      <c r="E21" s="105"/>
      <c r="F21" s="105"/>
      <c r="G21" s="105"/>
      <c r="H21" s="105"/>
      <c r="I21" s="105"/>
      <c r="J21" s="105"/>
      <c r="K21" s="120"/>
      <c r="L21" s="140"/>
      <c r="M21" s="141"/>
      <c r="N21" s="120"/>
      <c r="O21" s="120"/>
      <c r="P21" s="120"/>
      <c r="Q21" s="105"/>
      <c r="R21" s="105"/>
      <c r="S21" s="105"/>
      <c r="T21" s="105"/>
      <c r="U21" s="105"/>
      <c r="V21" s="107"/>
      <c r="W21" s="6">
        <v>16</v>
      </c>
    </row>
    <row r="22" spans="2:23" ht="36" customHeight="1">
      <c r="B22" s="1">
        <v>17</v>
      </c>
      <c r="C22" s="104"/>
      <c r="D22" s="105"/>
      <c r="E22" s="105"/>
      <c r="F22" s="105"/>
      <c r="G22" s="105"/>
      <c r="H22" s="105"/>
      <c r="I22" s="105"/>
      <c r="J22" s="105"/>
      <c r="K22" s="105"/>
      <c r="L22" s="121"/>
      <c r="M22" s="119" t="s">
        <v>4</v>
      </c>
      <c r="N22" s="105"/>
      <c r="O22" s="105"/>
      <c r="P22" s="105"/>
      <c r="Q22" s="105"/>
      <c r="R22" s="105"/>
      <c r="S22" s="105"/>
      <c r="T22" s="105"/>
      <c r="U22" s="105"/>
      <c r="V22" s="107"/>
      <c r="W22" s="6">
        <v>17</v>
      </c>
    </row>
    <row r="23" spans="2:23" ht="36" customHeight="1">
      <c r="B23" s="1">
        <v>18</v>
      </c>
      <c r="C23" s="104"/>
      <c r="D23" s="105"/>
      <c r="E23" s="105"/>
      <c r="F23" s="105"/>
      <c r="G23" s="105"/>
      <c r="H23" s="105"/>
      <c r="I23" s="105"/>
      <c r="J23" s="105"/>
      <c r="K23" s="105"/>
      <c r="L23" s="121"/>
      <c r="M23" s="119" t="s">
        <v>5</v>
      </c>
      <c r="N23" s="105"/>
      <c r="O23" s="105"/>
      <c r="P23" s="105"/>
      <c r="Q23" s="105"/>
      <c r="R23" s="105"/>
      <c r="S23" s="105"/>
      <c r="T23" s="105"/>
      <c r="U23" s="105"/>
      <c r="V23" s="107"/>
      <c r="W23" s="6">
        <v>18</v>
      </c>
    </row>
    <row r="24" spans="2:23" ht="36" customHeight="1">
      <c r="B24" s="1">
        <v>19</v>
      </c>
      <c r="C24" s="104"/>
      <c r="D24" s="105"/>
      <c r="E24" s="105"/>
      <c r="F24" s="105"/>
      <c r="G24" s="105"/>
      <c r="H24" s="105"/>
      <c r="I24" s="105"/>
      <c r="J24" s="105"/>
      <c r="K24" s="105"/>
      <c r="L24" s="121"/>
      <c r="M24" s="119" t="s">
        <v>69</v>
      </c>
      <c r="N24" s="105"/>
      <c r="O24" s="105"/>
      <c r="P24" s="105"/>
      <c r="Q24" s="105"/>
      <c r="R24" s="105"/>
      <c r="S24" s="105"/>
      <c r="T24" s="105"/>
      <c r="U24" s="105"/>
      <c r="V24" s="107"/>
      <c r="W24" s="6">
        <v>19</v>
      </c>
    </row>
    <row r="25" spans="2:23" ht="36" customHeight="1" thickBot="1">
      <c r="B25" s="1">
        <v>20</v>
      </c>
      <c r="C25" s="124"/>
      <c r="D25" s="125"/>
      <c r="E25" s="125"/>
      <c r="F25" s="125"/>
      <c r="G25" s="125"/>
      <c r="H25" s="125"/>
      <c r="I25" s="125"/>
      <c r="J25" s="125"/>
      <c r="K25" s="125"/>
      <c r="L25" s="126"/>
      <c r="M25" s="127" t="s">
        <v>68</v>
      </c>
      <c r="N25" s="125"/>
      <c r="O25" s="125"/>
      <c r="P25" s="125"/>
      <c r="Q25" s="125"/>
      <c r="R25" s="125"/>
      <c r="S25" s="125"/>
      <c r="T25" s="125"/>
      <c r="U25" s="125"/>
      <c r="V25" s="128"/>
      <c r="W25" s="6">
        <v>20</v>
      </c>
    </row>
    <row r="26" spans="2:23" ht="15" customHeight="1">
      <c r="B26" s="1"/>
      <c r="C26" s="7">
        <v>1</v>
      </c>
      <c r="D26" s="7">
        <v>2</v>
      </c>
      <c r="E26" s="7">
        <v>3</v>
      </c>
      <c r="F26" s="7">
        <v>4</v>
      </c>
      <c r="G26" s="7">
        <v>5</v>
      </c>
      <c r="H26" s="7">
        <v>6</v>
      </c>
      <c r="I26" s="7">
        <v>7</v>
      </c>
      <c r="J26" s="7">
        <v>8</v>
      </c>
      <c r="K26" s="7">
        <v>9</v>
      </c>
      <c r="L26" s="8">
        <v>10</v>
      </c>
      <c r="M26" s="8">
        <v>11</v>
      </c>
      <c r="N26" s="7">
        <v>12</v>
      </c>
      <c r="O26" s="7">
        <v>13</v>
      </c>
      <c r="P26" s="7">
        <v>14</v>
      </c>
      <c r="Q26" s="7">
        <v>15</v>
      </c>
      <c r="R26" s="7">
        <v>16</v>
      </c>
      <c r="S26" s="7">
        <v>17</v>
      </c>
      <c r="T26" s="7">
        <v>18</v>
      </c>
      <c r="U26" s="7">
        <v>19</v>
      </c>
      <c r="V26" s="7">
        <v>20</v>
      </c>
      <c r="W26" s="3"/>
    </row>
    <row r="27" spans="2:23" ht="36" customHeight="1">
      <c r="B27" s="1"/>
      <c r="C27" s="3"/>
      <c r="D27" s="3"/>
      <c r="E27" s="3"/>
      <c r="F27" s="3"/>
      <c r="G27" s="3"/>
      <c r="H27" s="3"/>
      <c r="I27" s="3"/>
      <c r="J27" s="3"/>
      <c r="K27" s="172" t="s">
        <v>21</v>
      </c>
      <c r="L27" s="173"/>
      <c r="M27" s="173"/>
      <c r="N27" s="173"/>
      <c r="O27" s="3"/>
      <c r="P27" s="3"/>
      <c r="Q27" s="3"/>
      <c r="R27" s="3"/>
      <c r="S27" s="3"/>
      <c r="T27" s="3"/>
      <c r="U27" s="3"/>
      <c r="V27" s="3"/>
      <c r="W27" s="3"/>
    </row>
    <row r="28" ht="18">
      <c r="C28" s="4"/>
    </row>
  </sheetData>
  <sheetProtection password="E9C6" sheet="1" objects="1" scenarios="1" selectLockedCells="1" selectUnlockedCells="1"/>
  <mergeCells count="23">
    <mergeCell ref="K27:N27"/>
    <mergeCell ref="J16:J19"/>
    <mergeCell ref="D16:D19"/>
    <mergeCell ref="K16:K19"/>
    <mergeCell ref="H16:H19"/>
    <mergeCell ref="G16:G19"/>
    <mergeCell ref="F16:F19"/>
    <mergeCell ref="E16:E19"/>
    <mergeCell ref="A1:X1"/>
    <mergeCell ref="A2:X2"/>
    <mergeCell ref="O14:O15"/>
    <mergeCell ref="N14:N15"/>
    <mergeCell ref="Q14:Q15"/>
    <mergeCell ref="V14:V15"/>
    <mergeCell ref="K4:N4"/>
    <mergeCell ref="X14:X17"/>
    <mergeCell ref="P14:P15"/>
    <mergeCell ref="S14:S15"/>
    <mergeCell ref="T14:T15"/>
    <mergeCell ref="U14:U15"/>
    <mergeCell ref="R14:R15"/>
    <mergeCell ref="A14:A16"/>
    <mergeCell ref="C16:C19"/>
  </mergeCells>
  <printOptions horizontalCentered="1"/>
  <pageMargins left="0.7480314960629921" right="0.7874015748031497" top="0.3937007874015748" bottom="0.5118110236220472" header="0.31496062992125984" footer="0.31496062992125984"/>
  <pageSetup fitToHeight="1" fitToWidth="1" horizontalDpi="300" verticalDpi="300" orientation="landscape" paperSize="9" scale="60" r:id="rId3"/>
  <headerFooter alignWithMargins="0">
    <oddFooter>&amp;LFonte: livro Repensando Banco de Varejo de Ricardo Coelho&amp;Rwww.ricardocoelhoconsult.com.br</oddFooter>
  </headerFooter>
  <legacyDrawing r:id="rId2"/>
  <oleObjects>
    <oleObject progId="CorelDRAW.Graphic.11" shapeId="14694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showGridLines="0" showRowColHeaders="0" zoomScale="60" zoomScaleNormal="60" zoomScalePageLayoutView="0" workbookViewId="0" topLeftCell="A1">
      <selection activeCell="AB11" sqref="AB11"/>
    </sheetView>
  </sheetViews>
  <sheetFormatPr defaultColWidth="9.140625" defaultRowHeight="12.75"/>
  <cols>
    <col min="1" max="1" width="10.8515625" style="0" customWidth="1"/>
    <col min="2" max="2" width="4.140625" style="0" customWidth="1"/>
    <col min="3" max="22" width="7.140625" style="0" customWidth="1"/>
    <col min="23" max="23" width="3.8515625" style="0" customWidth="1"/>
  </cols>
  <sheetData>
    <row r="1" spans="1:24" ht="24" thickBot="1">
      <c r="A1" s="195" t="s">
        <v>27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</row>
    <row r="2" spans="1:24" ht="48.75" customHeight="1" thickBot="1">
      <c r="A2" s="225" t="s">
        <v>31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7"/>
    </row>
    <row r="3" ht="17.25" customHeight="1">
      <c r="C3" s="4"/>
    </row>
    <row r="4" spans="11:14" ht="31.5" customHeight="1">
      <c r="K4" s="179" t="s">
        <v>25</v>
      </c>
      <c r="L4" s="179"/>
      <c r="M4" s="179"/>
      <c r="N4" s="179"/>
    </row>
    <row r="5" spans="2:23" ht="18" customHeight="1" thickBot="1">
      <c r="B5" s="1">
        <v>0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2">
        <v>10</v>
      </c>
      <c r="M5" s="2">
        <v>11</v>
      </c>
      <c r="N5" s="1">
        <v>12</v>
      </c>
      <c r="O5" s="1">
        <v>13</v>
      </c>
      <c r="P5" s="1">
        <v>14</v>
      </c>
      <c r="Q5" s="1">
        <v>15</v>
      </c>
      <c r="R5" s="1">
        <v>16</v>
      </c>
      <c r="S5" s="1">
        <v>17</v>
      </c>
      <c r="T5" s="1">
        <v>18</v>
      </c>
      <c r="U5" s="1">
        <v>19</v>
      </c>
      <c r="V5" s="1">
        <v>20</v>
      </c>
      <c r="W5" s="1"/>
    </row>
    <row r="6" spans="2:23" ht="36" customHeight="1" thickBot="1">
      <c r="B6" s="1">
        <v>1</v>
      </c>
      <c r="C6" s="98"/>
      <c r="D6" s="99"/>
      <c r="E6" s="99"/>
      <c r="F6" s="99"/>
      <c r="G6" s="99"/>
      <c r="H6" s="152"/>
      <c r="I6" s="152"/>
      <c r="J6" s="152"/>
      <c r="K6" s="152"/>
      <c r="L6" s="132">
        <v>45</v>
      </c>
      <c r="M6" s="133">
        <v>50</v>
      </c>
      <c r="N6" s="152"/>
      <c r="O6" s="152"/>
      <c r="P6" s="152"/>
      <c r="Q6" s="152"/>
      <c r="R6" s="99"/>
      <c r="S6" s="99"/>
      <c r="T6" s="99"/>
      <c r="U6" s="99"/>
      <c r="V6" s="103"/>
      <c r="W6" s="6">
        <v>1</v>
      </c>
    </row>
    <row r="7" spans="2:23" ht="36" customHeight="1">
      <c r="B7" s="1">
        <v>2</v>
      </c>
      <c r="C7" s="104"/>
      <c r="D7" s="105"/>
      <c r="E7" s="105"/>
      <c r="F7" s="105"/>
      <c r="G7" s="135"/>
      <c r="H7" s="36"/>
      <c r="I7" s="37"/>
      <c r="J7" s="37"/>
      <c r="K7" s="37"/>
      <c r="L7" s="39">
        <v>42</v>
      </c>
      <c r="M7" s="143">
        <v>53</v>
      </c>
      <c r="N7" s="37"/>
      <c r="O7" s="37"/>
      <c r="P7" s="37"/>
      <c r="Q7" s="41"/>
      <c r="R7" s="139"/>
      <c r="S7" s="105"/>
      <c r="T7" s="105"/>
      <c r="U7" s="105"/>
      <c r="V7" s="107"/>
      <c r="W7" s="6">
        <v>2</v>
      </c>
    </row>
    <row r="8" spans="2:23" ht="36" customHeight="1">
      <c r="B8" s="1">
        <v>3</v>
      </c>
      <c r="C8" s="104"/>
      <c r="D8" s="105"/>
      <c r="E8" s="105"/>
      <c r="F8" s="105"/>
      <c r="G8" s="135"/>
      <c r="H8" s="42"/>
      <c r="I8" s="43"/>
      <c r="J8" s="43"/>
      <c r="K8" s="43"/>
      <c r="L8" s="44">
        <v>39</v>
      </c>
      <c r="M8" s="40">
        <v>56</v>
      </c>
      <c r="N8" s="43"/>
      <c r="O8" s="43"/>
      <c r="P8" s="43"/>
      <c r="Q8" s="45"/>
      <c r="R8" s="139"/>
      <c r="S8" s="105"/>
      <c r="T8" s="105"/>
      <c r="U8" s="105"/>
      <c r="V8" s="107"/>
      <c r="W8" s="6">
        <v>3</v>
      </c>
    </row>
    <row r="9" spans="2:23" ht="36" customHeight="1">
      <c r="B9" s="1">
        <v>4</v>
      </c>
      <c r="C9" s="104"/>
      <c r="D9" s="105"/>
      <c r="E9" s="105"/>
      <c r="F9" s="105"/>
      <c r="G9" s="135"/>
      <c r="H9" s="42"/>
      <c r="I9" s="43"/>
      <c r="J9" s="43"/>
      <c r="K9" s="46" t="s">
        <v>6</v>
      </c>
      <c r="L9" s="44">
        <v>36</v>
      </c>
      <c r="M9" s="40">
        <v>60</v>
      </c>
      <c r="N9" s="43"/>
      <c r="O9" s="43"/>
      <c r="P9" s="43"/>
      <c r="Q9" s="45"/>
      <c r="R9" s="139"/>
      <c r="S9" s="105"/>
      <c r="T9" s="105"/>
      <c r="U9" s="105"/>
      <c r="V9" s="107"/>
      <c r="W9" s="6">
        <v>4</v>
      </c>
    </row>
    <row r="10" spans="2:23" ht="36" customHeight="1">
      <c r="B10" s="1">
        <v>5</v>
      </c>
      <c r="C10" s="104"/>
      <c r="D10" s="105"/>
      <c r="E10" s="105"/>
      <c r="F10" s="105"/>
      <c r="G10" s="135"/>
      <c r="H10" s="42"/>
      <c r="I10" s="43"/>
      <c r="J10" s="43"/>
      <c r="K10" s="43"/>
      <c r="L10" s="44">
        <v>33</v>
      </c>
      <c r="M10" s="40">
        <v>65</v>
      </c>
      <c r="N10" s="43"/>
      <c r="O10" s="43"/>
      <c r="P10" s="43"/>
      <c r="Q10" s="45"/>
      <c r="R10" s="139"/>
      <c r="S10" s="105"/>
      <c r="T10" s="105"/>
      <c r="U10" s="105"/>
      <c r="V10" s="107"/>
      <c r="W10" s="6">
        <v>5</v>
      </c>
    </row>
    <row r="11" spans="2:23" ht="36" customHeight="1">
      <c r="B11" s="1">
        <v>6</v>
      </c>
      <c r="C11" s="104"/>
      <c r="D11" s="105"/>
      <c r="E11" s="105"/>
      <c r="F11" s="105"/>
      <c r="G11" s="135"/>
      <c r="H11" s="42"/>
      <c r="I11" s="43"/>
      <c r="J11" s="43"/>
      <c r="K11" s="46"/>
      <c r="L11" s="44">
        <v>30</v>
      </c>
      <c r="M11" s="40">
        <v>70</v>
      </c>
      <c r="N11" s="43"/>
      <c r="O11" s="43"/>
      <c r="P11" s="43"/>
      <c r="Q11" s="45"/>
      <c r="R11" s="139"/>
      <c r="S11" s="105"/>
      <c r="T11" s="105"/>
      <c r="U11" s="105"/>
      <c r="V11" s="107"/>
      <c r="W11" s="6">
        <v>6</v>
      </c>
    </row>
    <row r="12" spans="2:23" ht="36" customHeight="1">
      <c r="B12" s="1">
        <v>7</v>
      </c>
      <c r="C12" s="104"/>
      <c r="D12" s="105"/>
      <c r="E12" s="105"/>
      <c r="F12" s="105"/>
      <c r="G12" s="135"/>
      <c r="H12" s="42"/>
      <c r="I12" s="43"/>
      <c r="J12" s="43"/>
      <c r="K12" s="43"/>
      <c r="L12" s="44">
        <v>27</v>
      </c>
      <c r="M12" s="40">
        <v>75</v>
      </c>
      <c r="N12" s="43"/>
      <c r="O12" s="43"/>
      <c r="P12" s="43"/>
      <c r="Q12" s="45"/>
      <c r="R12" s="139"/>
      <c r="S12" s="105"/>
      <c r="T12" s="105"/>
      <c r="U12" s="105"/>
      <c r="V12" s="107"/>
      <c r="W12" s="6">
        <v>7</v>
      </c>
    </row>
    <row r="13" spans="2:23" ht="36" customHeight="1">
      <c r="B13" s="1">
        <v>8</v>
      </c>
      <c r="C13" s="104"/>
      <c r="D13" s="105"/>
      <c r="E13" s="105"/>
      <c r="F13" s="105"/>
      <c r="G13" s="135"/>
      <c r="H13" s="42"/>
      <c r="I13" s="43"/>
      <c r="J13" s="43"/>
      <c r="K13" s="46"/>
      <c r="L13" s="44">
        <v>23</v>
      </c>
      <c r="M13" s="40">
        <v>80</v>
      </c>
      <c r="N13" s="43"/>
      <c r="O13" s="47"/>
      <c r="P13" s="47"/>
      <c r="Q13" s="156"/>
      <c r="R13" s="136"/>
      <c r="S13" s="109"/>
      <c r="T13" s="109"/>
      <c r="U13" s="109"/>
      <c r="V13" s="110"/>
      <c r="W13" s="6">
        <v>8</v>
      </c>
    </row>
    <row r="14" spans="1:24" ht="36" customHeight="1">
      <c r="A14" s="185" t="s">
        <v>22</v>
      </c>
      <c r="B14" s="1">
        <v>9</v>
      </c>
      <c r="C14" s="104"/>
      <c r="D14" s="105"/>
      <c r="E14" s="105"/>
      <c r="F14" s="105"/>
      <c r="G14" s="135"/>
      <c r="H14" s="42"/>
      <c r="I14" s="43"/>
      <c r="J14" s="61"/>
      <c r="K14" s="46"/>
      <c r="L14" s="44">
        <v>18</v>
      </c>
      <c r="M14" s="40">
        <v>90</v>
      </c>
      <c r="N14" s="210" t="s">
        <v>23</v>
      </c>
      <c r="O14" s="220" t="s">
        <v>24</v>
      </c>
      <c r="P14" s="220" t="s">
        <v>13</v>
      </c>
      <c r="Q14" s="223" t="s">
        <v>14</v>
      </c>
      <c r="R14" s="212" t="s">
        <v>15</v>
      </c>
      <c r="S14" s="193" t="s">
        <v>16</v>
      </c>
      <c r="T14" s="191" t="s">
        <v>17</v>
      </c>
      <c r="U14" s="191" t="s">
        <v>18</v>
      </c>
      <c r="V14" s="202" t="s">
        <v>19</v>
      </c>
      <c r="W14" s="6">
        <v>9</v>
      </c>
      <c r="X14" s="178" t="s">
        <v>20</v>
      </c>
    </row>
    <row r="15" spans="1:24" ht="36" customHeight="1" thickBot="1">
      <c r="A15" s="185"/>
      <c r="B15" s="1">
        <v>10</v>
      </c>
      <c r="C15" s="111"/>
      <c r="D15" s="112"/>
      <c r="E15" s="112"/>
      <c r="F15" s="112"/>
      <c r="G15" s="137"/>
      <c r="H15" s="48"/>
      <c r="I15" s="49"/>
      <c r="J15" s="63"/>
      <c r="K15" s="49"/>
      <c r="L15" s="50"/>
      <c r="M15" s="51"/>
      <c r="N15" s="219"/>
      <c r="O15" s="221"/>
      <c r="P15" s="222"/>
      <c r="Q15" s="224"/>
      <c r="R15" s="201"/>
      <c r="S15" s="194"/>
      <c r="T15" s="192"/>
      <c r="U15" s="192"/>
      <c r="V15" s="203"/>
      <c r="W15" s="6">
        <v>10</v>
      </c>
      <c r="X15" s="178"/>
    </row>
    <row r="16" spans="1:24" ht="36" customHeight="1" thickTop="1">
      <c r="A16" s="185"/>
      <c r="B16" s="1">
        <v>11</v>
      </c>
      <c r="C16" s="197" t="s">
        <v>10</v>
      </c>
      <c r="D16" s="186" t="s">
        <v>9</v>
      </c>
      <c r="E16" s="186" t="s">
        <v>29</v>
      </c>
      <c r="F16" s="186" t="s">
        <v>8</v>
      </c>
      <c r="G16" s="186" t="s">
        <v>30</v>
      </c>
      <c r="H16" s="217" t="s">
        <v>7</v>
      </c>
      <c r="I16" s="57"/>
      <c r="J16" s="229" t="s">
        <v>1</v>
      </c>
      <c r="K16" s="231" t="s">
        <v>0</v>
      </c>
      <c r="L16" s="52"/>
      <c r="M16" s="57"/>
      <c r="N16" s="53"/>
      <c r="O16" s="53"/>
      <c r="P16" s="57"/>
      <c r="Q16" s="147"/>
      <c r="R16" s="153"/>
      <c r="S16" s="116"/>
      <c r="T16" s="116"/>
      <c r="U16" s="116"/>
      <c r="V16" s="117"/>
      <c r="W16" s="6">
        <v>11</v>
      </c>
      <c r="X16" s="178"/>
    </row>
    <row r="17" spans="2:24" ht="36" customHeight="1">
      <c r="B17" s="1">
        <v>12</v>
      </c>
      <c r="C17" s="198"/>
      <c r="D17" s="189"/>
      <c r="E17" s="187"/>
      <c r="F17" s="187"/>
      <c r="G17" s="187"/>
      <c r="H17" s="217"/>
      <c r="I17" s="43"/>
      <c r="J17" s="229"/>
      <c r="K17" s="231"/>
      <c r="L17" s="55"/>
      <c r="M17" s="56" t="s">
        <v>11</v>
      </c>
      <c r="N17" s="57"/>
      <c r="O17" s="57"/>
      <c r="P17" s="57"/>
      <c r="Q17" s="45"/>
      <c r="R17" s="139"/>
      <c r="S17" s="105"/>
      <c r="T17" s="105"/>
      <c r="U17" s="105"/>
      <c r="V17" s="107"/>
      <c r="W17" s="6">
        <v>12</v>
      </c>
      <c r="X17" s="178"/>
    </row>
    <row r="18" spans="2:23" ht="36" customHeight="1">
      <c r="B18" s="1">
        <v>13</v>
      </c>
      <c r="C18" s="198"/>
      <c r="D18" s="189"/>
      <c r="E18" s="187"/>
      <c r="F18" s="187"/>
      <c r="G18" s="187"/>
      <c r="H18" s="217"/>
      <c r="I18" s="43"/>
      <c r="J18" s="229"/>
      <c r="K18" s="231"/>
      <c r="L18" s="58"/>
      <c r="M18" s="56" t="s">
        <v>12</v>
      </c>
      <c r="N18" s="43"/>
      <c r="O18" s="43"/>
      <c r="P18" s="43"/>
      <c r="Q18" s="45"/>
      <c r="R18" s="139"/>
      <c r="S18" s="105"/>
      <c r="T18" s="105"/>
      <c r="U18" s="105"/>
      <c r="V18" s="107"/>
      <c r="W18" s="6">
        <v>13</v>
      </c>
    </row>
    <row r="19" spans="2:23" ht="36" customHeight="1" thickBot="1">
      <c r="B19" s="1">
        <v>14</v>
      </c>
      <c r="C19" s="199"/>
      <c r="D19" s="190"/>
      <c r="E19" s="188"/>
      <c r="F19" s="188"/>
      <c r="G19" s="188"/>
      <c r="H19" s="228"/>
      <c r="I19" s="150"/>
      <c r="J19" s="230"/>
      <c r="K19" s="232"/>
      <c r="L19" s="157"/>
      <c r="M19" s="60" t="s">
        <v>2</v>
      </c>
      <c r="N19" s="150"/>
      <c r="O19" s="150"/>
      <c r="P19" s="150"/>
      <c r="Q19" s="151"/>
      <c r="R19" s="139"/>
      <c r="S19" s="105"/>
      <c r="T19" s="105"/>
      <c r="U19" s="105"/>
      <c r="V19" s="107"/>
      <c r="W19" s="6">
        <v>14</v>
      </c>
    </row>
    <row r="20" spans="2:23" ht="36" customHeight="1">
      <c r="B20" s="1">
        <v>15</v>
      </c>
      <c r="C20" s="104"/>
      <c r="D20" s="105"/>
      <c r="E20" s="105"/>
      <c r="F20" s="105"/>
      <c r="G20" s="105"/>
      <c r="H20" s="120"/>
      <c r="I20" s="120"/>
      <c r="J20" s="154"/>
      <c r="K20" s="120"/>
      <c r="L20" s="140"/>
      <c r="M20" s="155" t="s">
        <v>3</v>
      </c>
      <c r="N20" s="120"/>
      <c r="O20" s="120"/>
      <c r="P20" s="120"/>
      <c r="Q20" s="120"/>
      <c r="R20" s="105"/>
      <c r="S20" s="105"/>
      <c r="T20" s="105"/>
      <c r="U20" s="105"/>
      <c r="V20" s="107"/>
      <c r="W20" s="6">
        <v>15</v>
      </c>
    </row>
    <row r="21" spans="2:23" ht="36" customHeight="1">
      <c r="B21" s="1">
        <v>16</v>
      </c>
      <c r="C21" s="104"/>
      <c r="D21" s="105"/>
      <c r="E21" s="105"/>
      <c r="F21" s="105"/>
      <c r="G21" s="105"/>
      <c r="H21" s="105"/>
      <c r="I21" s="105"/>
      <c r="J21" s="105"/>
      <c r="K21" s="120"/>
      <c r="L21" s="140"/>
      <c r="M21" s="141"/>
      <c r="N21" s="120"/>
      <c r="O21" s="120"/>
      <c r="P21" s="105"/>
      <c r="Q21" s="105"/>
      <c r="R21" s="105"/>
      <c r="S21" s="105"/>
      <c r="T21" s="105"/>
      <c r="U21" s="105"/>
      <c r="V21" s="107"/>
      <c r="W21" s="6">
        <v>16</v>
      </c>
    </row>
    <row r="22" spans="2:23" ht="36" customHeight="1">
      <c r="B22" s="1">
        <v>17</v>
      </c>
      <c r="C22" s="104"/>
      <c r="D22" s="105"/>
      <c r="E22" s="105"/>
      <c r="F22" s="105"/>
      <c r="G22" s="105"/>
      <c r="H22" s="105"/>
      <c r="I22" s="105"/>
      <c r="J22" s="105"/>
      <c r="K22" s="105"/>
      <c r="L22" s="121"/>
      <c r="M22" s="119" t="s">
        <v>4</v>
      </c>
      <c r="N22" s="105"/>
      <c r="O22" s="105"/>
      <c r="P22" s="105"/>
      <c r="Q22" s="105"/>
      <c r="R22" s="105"/>
      <c r="S22" s="105"/>
      <c r="T22" s="105"/>
      <c r="U22" s="105"/>
      <c r="V22" s="107"/>
      <c r="W22" s="6">
        <v>17</v>
      </c>
    </row>
    <row r="23" spans="2:23" ht="36" customHeight="1">
      <c r="B23" s="1">
        <v>18</v>
      </c>
      <c r="C23" s="104"/>
      <c r="D23" s="105"/>
      <c r="E23" s="105"/>
      <c r="F23" s="105"/>
      <c r="G23" s="105"/>
      <c r="H23" s="105"/>
      <c r="I23" s="105"/>
      <c r="J23" s="105"/>
      <c r="K23" s="105"/>
      <c r="L23" s="121"/>
      <c r="M23" s="119" t="s">
        <v>5</v>
      </c>
      <c r="N23" s="105"/>
      <c r="O23" s="105"/>
      <c r="P23" s="105"/>
      <c r="Q23" s="105"/>
      <c r="R23" s="105"/>
      <c r="S23" s="105"/>
      <c r="T23" s="105"/>
      <c r="U23" s="105"/>
      <c r="V23" s="107"/>
      <c r="W23" s="6">
        <v>18</v>
      </c>
    </row>
    <row r="24" spans="2:23" ht="36" customHeight="1">
      <c r="B24" s="1">
        <v>19</v>
      </c>
      <c r="C24" s="104"/>
      <c r="D24" s="105"/>
      <c r="E24" s="105"/>
      <c r="F24" s="105"/>
      <c r="G24" s="105"/>
      <c r="H24" s="105"/>
      <c r="I24" s="105"/>
      <c r="J24" s="105"/>
      <c r="K24" s="105"/>
      <c r="L24" s="121"/>
      <c r="M24" s="119" t="s">
        <v>69</v>
      </c>
      <c r="N24" s="105"/>
      <c r="O24" s="105"/>
      <c r="P24" s="105"/>
      <c r="Q24" s="105"/>
      <c r="R24" s="105"/>
      <c r="S24" s="105"/>
      <c r="T24" s="105"/>
      <c r="U24" s="105"/>
      <c r="V24" s="107"/>
      <c r="W24" s="6">
        <v>19</v>
      </c>
    </row>
    <row r="25" spans="2:23" ht="36" customHeight="1" thickBot="1">
      <c r="B25" s="1">
        <v>20</v>
      </c>
      <c r="C25" s="124"/>
      <c r="D25" s="125"/>
      <c r="E25" s="125"/>
      <c r="F25" s="125"/>
      <c r="G25" s="125"/>
      <c r="H25" s="125"/>
      <c r="I25" s="125"/>
      <c r="J25" s="125"/>
      <c r="K25" s="125"/>
      <c r="L25" s="126"/>
      <c r="M25" s="127" t="s">
        <v>68</v>
      </c>
      <c r="N25" s="125"/>
      <c r="O25" s="125"/>
      <c r="P25" s="125"/>
      <c r="Q25" s="125"/>
      <c r="R25" s="125"/>
      <c r="S25" s="125"/>
      <c r="T25" s="125"/>
      <c r="U25" s="125"/>
      <c r="V25" s="128"/>
      <c r="W25" s="6">
        <v>20</v>
      </c>
    </row>
    <row r="26" spans="2:23" ht="15" customHeight="1">
      <c r="B26" s="1"/>
      <c r="C26" s="7">
        <v>1</v>
      </c>
      <c r="D26" s="7">
        <v>2</v>
      </c>
      <c r="E26" s="7">
        <v>3</v>
      </c>
      <c r="F26" s="7">
        <v>4</v>
      </c>
      <c r="G26" s="7">
        <v>5</v>
      </c>
      <c r="H26" s="7">
        <v>6</v>
      </c>
      <c r="I26" s="7">
        <v>7</v>
      </c>
      <c r="J26" s="7">
        <v>8</v>
      </c>
      <c r="K26" s="7">
        <v>9</v>
      </c>
      <c r="L26" s="8">
        <v>10</v>
      </c>
      <c r="M26" s="8">
        <v>11</v>
      </c>
      <c r="N26" s="7">
        <v>12</v>
      </c>
      <c r="O26" s="7">
        <v>13</v>
      </c>
      <c r="P26" s="7">
        <v>14</v>
      </c>
      <c r="Q26" s="7">
        <v>15</v>
      </c>
      <c r="R26" s="7">
        <v>16</v>
      </c>
      <c r="S26" s="7">
        <v>17</v>
      </c>
      <c r="T26" s="7">
        <v>18</v>
      </c>
      <c r="U26" s="7">
        <v>19</v>
      </c>
      <c r="V26" s="7">
        <v>20</v>
      </c>
      <c r="W26" s="3"/>
    </row>
    <row r="27" spans="2:23" ht="36" customHeight="1">
      <c r="B27" s="1"/>
      <c r="C27" s="3"/>
      <c r="D27" s="3"/>
      <c r="E27" s="3"/>
      <c r="F27" s="3"/>
      <c r="G27" s="3"/>
      <c r="H27" s="3"/>
      <c r="I27" s="3"/>
      <c r="J27" s="3"/>
      <c r="K27" s="172" t="s">
        <v>21</v>
      </c>
      <c r="L27" s="173"/>
      <c r="M27" s="173"/>
      <c r="N27" s="173"/>
      <c r="O27" s="3"/>
      <c r="P27" s="3"/>
      <c r="Q27" s="3"/>
      <c r="R27" s="3"/>
      <c r="S27" s="3"/>
      <c r="T27" s="3"/>
      <c r="U27" s="3"/>
      <c r="V27" s="3"/>
      <c r="W27" s="3"/>
    </row>
  </sheetData>
  <sheetProtection password="E9C6" sheet="1" objects="1" scenarios="1" selectLockedCells="1" selectUnlockedCells="1"/>
  <mergeCells count="23">
    <mergeCell ref="K27:N27"/>
    <mergeCell ref="X14:X17"/>
    <mergeCell ref="H16:H19"/>
    <mergeCell ref="J16:J19"/>
    <mergeCell ref="K16:K19"/>
    <mergeCell ref="S14:S15"/>
    <mergeCell ref="U14:U15"/>
    <mergeCell ref="A2:X2"/>
    <mergeCell ref="V14:V15"/>
    <mergeCell ref="C16:C19"/>
    <mergeCell ref="D16:D19"/>
    <mergeCell ref="E16:E19"/>
    <mergeCell ref="F16:F19"/>
    <mergeCell ref="A1:X1"/>
    <mergeCell ref="K4:N4"/>
    <mergeCell ref="A14:A16"/>
    <mergeCell ref="N14:N15"/>
    <mergeCell ref="O14:O15"/>
    <mergeCell ref="P14:P15"/>
    <mergeCell ref="Q14:Q15"/>
    <mergeCell ref="R14:R15"/>
    <mergeCell ref="G16:G19"/>
    <mergeCell ref="T14:T15"/>
  </mergeCells>
  <printOptions horizontalCentered="1"/>
  <pageMargins left="0.7874015748031497" right="0.7874015748031497" top="0.3937007874015748" bottom="0.6692913385826772" header="0.3937007874015748" footer="0.5118110236220472"/>
  <pageSetup fitToHeight="1" fitToWidth="1" orientation="landscape" paperSize="9" scale="58" r:id="rId3"/>
  <headerFooter alignWithMargins="0">
    <oddFooter>&amp;LFonte:Llivro Repensando Banco de Varejo de Ricardo Coelho&amp;Rwww.ricardocoelhoconsult.com.br</oddFooter>
  </headerFooter>
  <legacyDrawing r:id="rId2"/>
  <oleObjects>
    <oleObject progId="CorelDRAW.Graphic.11" shapeId="14376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showGridLines="0" showRowColHeaders="0" zoomScale="60" zoomScaleNormal="60" zoomScalePageLayoutView="0" workbookViewId="0" topLeftCell="A1">
      <selection activeCell="AG10" sqref="AG10"/>
    </sheetView>
  </sheetViews>
  <sheetFormatPr defaultColWidth="9.140625" defaultRowHeight="12.75"/>
  <cols>
    <col min="1" max="1" width="11.57421875" style="0" customWidth="1"/>
    <col min="2" max="23" width="7.140625" style="0" customWidth="1"/>
  </cols>
  <sheetData>
    <row r="1" spans="1:24" ht="23.25">
      <c r="A1" s="195" t="s">
        <v>27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</row>
    <row r="2" spans="1:24" ht="45.75" customHeight="1">
      <c r="A2" s="206" t="s">
        <v>32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</row>
    <row r="3" ht="17.25" customHeight="1">
      <c r="C3" s="4"/>
    </row>
    <row r="4" spans="11:14" ht="31.5" customHeight="1">
      <c r="K4" s="179" t="s">
        <v>25</v>
      </c>
      <c r="L4" s="179"/>
      <c r="M4" s="179"/>
      <c r="N4" s="179"/>
    </row>
    <row r="5" spans="2:23" ht="23.25" customHeight="1" thickBot="1">
      <c r="B5" s="1">
        <v>0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2">
        <v>10</v>
      </c>
      <c r="M5" s="2">
        <v>11</v>
      </c>
      <c r="N5" s="1">
        <v>12</v>
      </c>
      <c r="O5" s="1">
        <v>13</v>
      </c>
      <c r="P5" s="1">
        <v>14</v>
      </c>
      <c r="Q5" s="1">
        <v>15</v>
      </c>
      <c r="R5" s="1">
        <v>16</v>
      </c>
      <c r="S5" s="1">
        <v>17</v>
      </c>
      <c r="T5" s="1">
        <v>18</v>
      </c>
      <c r="U5" s="1">
        <v>19</v>
      </c>
      <c r="V5" s="1">
        <v>20</v>
      </c>
      <c r="W5" s="1"/>
    </row>
    <row r="6" spans="2:23" ht="36" customHeight="1">
      <c r="B6" s="1">
        <v>1</v>
      </c>
      <c r="C6" s="36"/>
      <c r="D6" s="37"/>
      <c r="E6" s="37"/>
      <c r="F6" s="37"/>
      <c r="G6" s="37"/>
      <c r="H6" s="37"/>
      <c r="I6" s="37"/>
      <c r="J6" s="37"/>
      <c r="K6" s="38"/>
      <c r="L6" s="39">
        <v>45</v>
      </c>
      <c r="M6" s="143">
        <v>50</v>
      </c>
      <c r="N6" s="37"/>
      <c r="O6" s="37"/>
      <c r="P6" s="37"/>
      <c r="Q6" s="37"/>
      <c r="R6" s="37"/>
      <c r="S6" s="37"/>
      <c r="T6" s="41"/>
      <c r="U6" s="159"/>
      <c r="V6" s="158"/>
      <c r="W6" s="6">
        <v>1</v>
      </c>
    </row>
    <row r="7" spans="2:23" ht="36" customHeight="1">
      <c r="B7" s="1">
        <v>2</v>
      </c>
      <c r="C7" s="42"/>
      <c r="D7" s="43"/>
      <c r="E7" s="43"/>
      <c r="F7" s="43"/>
      <c r="G7" s="43"/>
      <c r="H7" s="43"/>
      <c r="I7" s="43"/>
      <c r="J7" s="43"/>
      <c r="K7" s="43"/>
      <c r="L7" s="44">
        <v>42</v>
      </c>
      <c r="M7" s="40">
        <v>53</v>
      </c>
      <c r="N7" s="43"/>
      <c r="O7" s="43"/>
      <c r="P7" s="43"/>
      <c r="Q7" s="43"/>
      <c r="R7" s="43"/>
      <c r="S7" s="43"/>
      <c r="T7" s="45"/>
      <c r="U7" s="161"/>
      <c r="V7" s="160"/>
      <c r="W7" s="6">
        <v>2</v>
      </c>
    </row>
    <row r="8" spans="2:23" ht="36" customHeight="1">
      <c r="B8" s="1">
        <v>3</v>
      </c>
      <c r="C8" s="42"/>
      <c r="D8" s="43"/>
      <c r="E8" s="43"/>
      <c r="F8" s="43"/>
      <c r="G8" s="43"/>
      <c r="H8" s="43"/>
      <c r="I8" s="43"/>
      <c r="J8" s="43"/>
      <c r="K8" s="43"/>
      <c r="L8" s="44">
        <v>39</v>
      </c>
      <c r="M8" s="40">
        <v>56</v>
      </c>
      <c r="N8" s="43"/>
      <c r="O8" s="43"/>
      <c r="P8" s="43"/>
      <c r="Q8" s="43"/>
      <c r="R8" s="43"/>
      <c r="S8" s="43"/>
      <c r="T8" s="45"/>
      <c r="U8" s="161"/>
      <c r="V8" s="160"/>
      <c r="W8" s="6">
        <v>3</v>
      </c>
    </row>
    <row r="9" spans="2:23" ht="36" customHeight="1">
      <c r="B9" s="1">
        <v>4</v>
      </c>
      <c r="C9" s="42"/>
      <c r="D9" s="43"/>
      <c r="E9" s="43"/>
      <c r="F9" s="43"/>
      <c r="G9" s="43"/>
      <c r="H9" s="43"/>
      <c r="I9" s="43"/>
      <c r="J9" s="43"/>
      <c r="K9" s="46" t="s">
        <v>6</v>
      </c>
      <c r="L9" s="44">
        <v>36</v>
      </c>
      <c r="M9" s="40">
        <v>60</v>
      </c>
      <c r="N9" s="43"/>
      <c r="O9" s="43"/>
      <c r="P9" s="43"/>
      <c r="Q9" s="43"/>
      <c r="R9" s="43"/>
      <c r="S9" s="43"/>
      <c r="T9" s="45"/>
      <c r="U9" s="161"/>
      <c r="V9" s="160"/>
      <c r="W9" s="6">
        <v>4</v>
      </c>
    </row>
    <row r="10" spans="2:23" ht="36" customHeight="1">
      <c r="B10" s="1">
        <v>5</v>
      </c>
      <c r="C10" s="42"/>
      <c r="D10" s="43"/>
      <c r="E10" s="43"/>
      <c r="F10" s="43"/>
      <c r="G10" s="43"/>
      <c r="H10" s="43"/>
      <c r="I10" s="43"/>
      <c r="J10" s="43"/>
      <c r="K10" s="43"/>
      <c r="L10" s="44">
        <v>33</v>
      </c>
      <c r="M10" s="40">
        <v>65</v>
      </c>
      <c r="N10" s="43"/>
      <c r="O10" s="43"/>
      <c r="P10" s="43"/>
      <c r="Q10" s="43"/>
      <c r="R10" s="43"/>
      <c r="S10" s="43"/>
      <c r="T10" s="45"/>
      <c r="U10" s="161"/>
      <c r="V10" s="160"/>
      <c r="W10" s="6">
        <v>5</v>
      </c>
    </row>
    <row r="11" spans="2:23" ht="36" customHeight="1">
      <c r="B11" s="1">
        <v>6</v>
      </c>
      <c r="C11" s="42"/>
      <c r="D11" s="43"/>
      <c r="E11" s="43"/>
      <c r="F11" s="43"/>
      <c r="G11" s="43"/>
      <c r="H11" s="43"/>
      <c r="I11" s="43"/>
      <c r="J11" s="43"/>
      <c r="K11" s="46"/>
      <c r="L11" s="44">
        <v>30</v>
      </c>
      <c r="M11" s="40">
        <v>70</v>
      </c>
      <c r="N11" s="43"/>
      <c r="O11" s="43"/>
      <c r="P11" s="43"/>
      <c r="Q11" s="43"/>
      <c r="R11" s="43"/>
      <c r="S11" s="43"/>
      <c r="T11" s="45"/>
      <c r="U11" s="161"/>
      <c r="V11" s="160"/>
      <c r="W11" s="6">
        <v>6</v>
      </c>
    </row>
    <row r="12" spans="2:23" ht="36" customHeight="1">
      <c r="B12" s="1">
        <v>7</v>
      </c>
      <c r="C12" s="42"/>
      <c r="D12" s="43"/>
      <c r="E12" s="43"/>
      <c r="F12" s="43"/>
      <c r="G12" s="43"/>
      <c r="H12" s="43"/>
      <c r="I12" s="43"/>
      <c r="J12" s="43"/>
      <c r="K12" s="43"/>
      <c r="L12" s="44">
        <v>27</v>
      </c>
      <c r="M12" s="40">
        <v>75</v>
      </c>
      <c r="N12" s="43"/>
      <c r="O12" s="43"/>
      <c r="P12" s="43"/>
      <c r="Q12" s="43"/>
      <c r="R12" s="43"/>
      <c r="S12" s="43"/>
      <c r="T12" s="45"/>
      <c r="U12" s="161"/>
      <c r="V12" s="160"/>
      <c r="W12" s="6">
        <v>7</v>
      </c>
    </row>
    <row r="13" spans="2:23" ht="36" customHeight="1">
      <c r="B13" s="1">
        <v>8</v>
      </c>
      <c r="C13" s="42"/>
      <c r="D13" s="43"/>
      <c r="E13" s="43"/>
      <c r="F13" s="43"/>
      <c r="G13" s="43"/>
      <c r="H13" s="43"/>
      <c r="I13" s="43"/>
      <c r="J13" s="43"/>
      <c r="K13" s="46"/>
      <c r="L13" s="44">
        <v>23</v>
      </c>
      <c r="M13" s="40">
        <v>80</v>
      </c>
      <c r="N13" s="43"/>
      <c r="O13" s="47"/>
      <c r="P13" s="47"/>
      <c r="Q13" s="47"/>
      <c r="R13" s="47"/>
      <c r="S13" s="47"/>
      <c r="T13" s="156"/>
      <c r="U13" s="162"/>
      <c r="V13" s="163"/>
      <c r="W13" s="6">
        <v>8</v>
      </c>
    </row>
    <row r="14" spans="1:24" ht="36" customHeight="1">
      <c r="A14" s="185" t="s">
        <v>22</v>
      </c>
      <c r="B14" s="1">
        <v>9</v>
      </c>
      <c r="C14" s="42"/>
      <c r="D14" s="43"/>
      <c r="E14" s="43"/>
      <c r="F14" s="43"/>
      <c r="G14" s="43"/>
      <c r="H14" s="43"/>
      <c r="I14" s="43"/>
      <c r="J14" s="61"/>
      <c r="K14" s="46"/>
      <c r="L14" s="44">
        <v>18</v>
      </c>
      <c r="M14" s="40">
        <v>90</v>
      </c>
      <c r="N14" s="210" t="s">
        <v>23</v>
      </c>
      <c r="O14" s="220" t="s">
        <v>24</v>
      </c>
      <c r="P14" s="233" t="s">
        <v>13</v>
      </c>
      <c r="Q14" s="208" t="s">
        <v>14</v>
      </c>
      <c r="R14" s="208" t="s">
        <v>15</v>
      </c>
      <c r="S14" s="208" t="s">
        <v>16</v>
      </c>
      <c r="T14" s="237" t="s">
        <v>17</v>
      </c>
      <c r="U14" s="241" t="s">
        <v>18</v>
      </c>
      <c r="V14" s="239" t="s">
        <v>19</v>
      </c>
      <c r="W14" s="6">
        <v>9</v>
      </c>
      <c r="X14" s="178" t="s">
        <v>20</v>
      </c>
    </row>
    <row r="15" spans="1:24" ht="36" customHeight="1" thickBot="1">
      <c r="A15" s="185"/>
      <c r="B15" s="1">
        <v>10</v>
      </c>
      <c r="C15" s="48"/>
      <c r="D15" s="49"/>
      <c r="E15" s="49"/>
      <c r="F15" s="49"/>
      <c r="G15" s="49"/>
      <c r="H15" s="49"/>
      <c r="I15" s="49"/>
      <c r="J15" s="63"/>
      <c r="K15" s="49"/>
      <c r="L15" s="50"/>
      <c r="M15" s="51"/>
      <c r="N15" s="211"/>
      <c r="O15" s="222"/>
      <c r="P15" s="234"/>
      <c r="Q15" s="209"/>
      <c r="R15" s="209"/>
      <c r="S15" s="209"/>
      <c r="T15" s="238"/>
      <c r="U15" s="242"/>
      <c r="V15" s="240"/>
      <c r="W15" s="6">
        <v>10</v>
      </c>
      <c r="X15" s="178"/>
    </row>
    <row r="16" spans="1:24" ht="36" customHeight="1" thickTop="1">
      <c r="A16" s="185"/>
      <c r="B16" s="1">
        <v>11</v>
      </c>
      <c r="C16" s="216" t="s">
        <v>10</v>
      </c>
      <c r="D16" s="243" t="s">
        <v>9</v>
      </c>
      <c r="E16" s="243" t="s">
        <v>29</v>
      </c>
      <c r="F16" s="243" t="s">
        <v>8</v>
      </c>
      <c r="G16" s="243" t="s">
        <v>30</v>
      </c>
      <c r="H16" s="243" t="s">
        <v>7</v>
      </c>
      <c r="I16" s="43"/>
      <c r="J16" s="235" t="s">
        <v>1</v>
      </c>
      <c r="K16" s="243" t="s">
        <v>0</v>
      </c>
      <c r="L16" s="52"/>
      <c r="M16" s="43"/>
      <c r="N16" s="53"/>
      <c r="O16" s="53"/>
      <c r="P16" s="53"/>
      <c r="Q16" s="53"/>
      <c r="R16" s="53"/>
      <c r="S16" s="53"/>
      <c r="T16" s="54"/>
      <c r="U16" s="165"/>
      <c r="V16" s="164"/>
      <c r="W16" s="6">
        <v>11</v>
      </c>
      <c r="X16" s="178"/>
    </row>
    <row r="17" spans="2:24" ht="36" customHeight="1">
      <c r="B17" s="1">
        <v>12</v>
      </c>
      <c r="C17" s="245"/>
      <c r="D17" s="247"/>
      <c r="E17" s="231"/>
      <c r="F17" s="231"/>
      <c r="G17" s="231"/>
      <c r="H17" s="231"/>
      <c r="I17" s="43"/>
      <c r="J17" s="229"/>
      <c r="K17" s="231"/>
      <c r="L17" s="55"/>
      <c r="M17" s="56" t="s">
        <v>11</v>
      </c>
      <c r="N17" s="57"/>
      <c r="O17" s="57"/>
      <c r="P17" s="57"/>
      <c r="Q17" s="43"/>
      <c r="R17" s="43"/>
      <c r="S17" s="43"/>
      <c r="T17" s="45"/>
      <c r="U17" s="161"/>
      <c r="V17" s="160"/>
      <c r="W17" s="6">
        <v>12</v>
      </c>
      <c r="X17" s="178"/>
    </row>
    <row r="18" spans="2:24" ht="36" customHeight="1">
      <c r="B18" s="1">
        <v>13</v>
      </c>
      <c r="C18" s="245"/>
      <c r="D18" s="247"/>
      <c r="E18" s="231"/>
      <c r="F18" s="231"/>
      <c r="G18" s="231"/>
      <c r="H18" s="231"/>
      <c r="I18" s="43"/>
      <c r="J18" s="229"/>
      <c r="K18" s="231"/>
      <c r="L18" s="58"/>
      <c r="M18" s="56" t="s">
        <v>12</v>
      </c>
      <c r="N18" s="43"/>
      <c r="O18" s="43"/>
      <c r="P18" s="43"/>
      <c r="Q18" s="43"/>
      <c r="R18" s="43"/>
      <c r="S18" s="43"/>
      <c r="T18" s="45"/>
      <c r="U18" s="161"/>
      <c r="V18" s="160"/>
      <c r="W18" s="6">
        <v>13</v>
      </c>
      <c r="X18" s="5"/>
    </row>
    <row r="19" spans="2:24" ht="36" customHeight="1">
      <c r="B19" s="1">
        <v>14</v>
      </c>
      <c r="C19" s="246"/>
      <c r="D19" s="248"/>
      <c r="E19" s="244"/>
      <c r="F19" s="244"/>
      <c r="G19" s="244"/>
      <c r="H19" s="244"/>
      <c r="I19" s="43"/>
      <c r="J19" s="236"/>
      <c r="K19" s="244"/>
      <c r="L19" s="59"/>
      <c r="M19" s="56" t="s">
        <v>2</v>
      </c>
      <c r="N19" s="43"/>
      <c r="O19" s="43"/>
      <c r="P19" s="43"/>
      <c r="Q19" s="43"/>
      <c r="R19" s="43"/>
      <c r="S19" s="43"/>
      <c r="T19" s="45"/>
      <c r="U19" s="161"/>
      <c r="V19" s="160"/>
      <c r="W19" s="6">
        <v>14</v>
      </c>
      <c r="X19" s="5"/>
    </row>
    <row r="20" spans="2:23" ht="36" customHeight="1">
      <c r="B20" s="1">
        <v>15</v>
      </c>
      <c r="C20" s="42"/>
      <c r="D20" s="43"/>
      <c r="E20" s="43"/>
      <c r="F20" s="43"/>
      <c r="G20" s="43"/>
      <c r="H20" s="43"/>
      <c r="I20" s="43"/>
      <c r="J20" s="61"/>
      <c r="K20" s="43"/>
      <c r="L20" s="58"/>
      <c r="M20" s="56" t="s">
        <v>3</v>
      </c>
      <c r="N20" s="43"/>
      <c r="O20" s="43"/>
      <c r="P20" s="43"/>
      <c r="Q20" s="43"/>
      <c r="R20" s="43"/>
      <c r="S20" s="43"/>
      <c r="T20" s="45"/>
      <c r="U20" s="161"/>
      <c r="V20" s="160"/>
      <c r="W20" s="6">
        <v>15</v>
      </c>
    </row>
    <row r="21" spans="2:23" ht="36" customHeight="1">
      <c r="B21" s="1">
        <v>16</v>
      </c>
      <c r="C21" s="42"/>
      <c r="D21" s="43"/>
      <c r="E21" s="43"/>
      <c r="F21" s="43"/>
      <c r="G21" s="43"/>
      <c r="H21" s="43"/>
      <c r="I21" s="43"/>
      <c r="J21" s="43"/>
      <c r="K21" s="57"/>
      <c r="L21" s="64"/>
      <c r="M21" s="65"/>
      <c r="N21" s="57"/>
      <c r="O21" s="57"/>
      <c r="P21" s="43"/>
      <c r="Q21" s="43"/>
      <c r="R21" s="43"/>
      <c r="S21" s="43"/>
      <c r="T21" s="45"/>
      <c r="U21" s="161"/>
      <c r="V21" s="160"/>
      <c r="W21" s="6">
        <v>16</v>
      </c>
    </row>
    <row r="22" spans="2:23" ht="36" customHeight="1">
      <c r="B22" s="1">
        <v>17</v>
      </c>
      <c r="C22" s="42"/>
      <c r="D22" s="43"/>
      <c r="E22" s="43"/>
      <c r="F22" s="43"/>
      <c r="G22" s="43"/>
      <c r="H22" s="43"/>
      <c r="I22" s="43"/>
      <c r="J22" s="43"/>
      <c r="K22" s="43"/>
      <c r="L22" s="58"/>
      <c r="M22" s="56" t="s">
        <v>4</v>
      </c>
      <c r="N22" s="43"/>
      <c r="O22" s="43"/>
      <c r="P22" s="43"/>
      <c r="Q22" s="43"/>
      <c r="R22" s="43"/>
      <c r="S22" s="43"/>
      <c r="T22" s="45"/>
      <c r="U22" s="161"/>
      <c r="V22" s="160"/>
      <c r="W22" s="6">
        <v>17</v>
      </c>
    </row>
    <row r="23" spans="2:23" ht="36" customHeight="1">
      <c r="B23" s="1">
        <v>18</v>
      </c>
      <c r="C23" s="42"/>
      <c r="D23" s="43"/>
      <c r="E23" s="43"/>
      <c r="F23" s="43"/>
      <c r="G23" s="43"/>
      <c r="H23" s="43"/>
      <c r="I23" s="43"/>
      <c r="J23" s="43"/>
      <c r="K23" s="43"/>
      <c r="L23" s="58"/>
      <c r="M23" s="56" t="s">
        <v>5</v>
      </c>
      <c r="N23" s="43"/>
      <c r="O23" s="43"/>
      <c r="P23" s="43"/>
      <c r="Q23" s="43"/>
      <c r="R23" s="43"/>
      <c r="S23" s="43"/>
      <c r="T23" s="45"/>
      <c r="U23" s="161"/>
      <c r="V23" s="160"/>
      <c r="W23" s="6">
        <v>18</v>
      </c>
    </row>
    <row r="24" spans="2:23" ht="36" customHeight="1" thickBot="1">
      <c r="B24" s="1">
        <v>19</v>
      </c>
      <c r="C24" s="148"/>
      <c r="D24" s="150"/>
      <c r="E24" s="150"/>
      <c r="F24" s="150"/>
      <c r="G24" s="150"/>
      <c r="H24" s="150"/>
      <c r="I24" s="150"/>
      <c r="J24" s="150"/>
      <c r="K24" s="150"/>
      <c r="L24" s="149"/>
      <c r="M24" s="56" t="s">
        <v>69</v>
      </c>
      <c r="N24" s="43"/>
      <c r="O24" s="43"/>
      <c r="P24" s="43"/>
      <c r="Q24" s="150"/>
      <c r="R24" s="150"/>
      <c r="S24" s="150"/>
      <c r="T24" s="151"/>
      <c r="U24" s="161"/>
      <c r="V24" s="160"/>
      <c r="W24" s="6">
        <v>19</v>
      </c>
    </row>
    <row r="25" spans="2:23" ht="36" customHeight="1" thickBot="1">
      <c r="B25" s="1">
        <v>20</v>
      </c>
      <c r="C25" s="166"/>
      <c r="D25" s="167"/>
      <c r="E25" s="167"/>
      <c r="F25" s="167"/>
      <c r="G25" s="167"/>
      <c r="H25" s="167"/>
      <c r="I25" s="167"/>
      <c r="J25" s="167"/>
      <c r="K25" s="167"/>
      <c r="L25" s="168"/>
      <c r="M25" s="169" t="s">
        <v>68</v>
      </c>
      <c r="N25" s="170"/>
      <c r="O25" s="170"/>
      <c r="P25" s="170"/>
      <c r="Q25" s="167"/>
      <c r="R25" s="167"/>
      <c r="S25" s="167"/>
      <c r="T25" s="167"/>
      <c r="U25" s="170"/>
      <c r="V25" s="171"/>
      <c r="W25" s="6">
        <v>20</v>
      </c>
    </row>
    <row r="26" spans="2:24" ht="15" customHeight="1">
      <c r="B26" s="1"/>
      <c r="C26" s="7">
        <v>1</v>
      </c>
      <c r="D26" s="7">
        <v>2</v>
      </c>
      <c r="E26" s="7">
        <v>3</v>
      </c>
      <c r="F26" s="7">
        <v>4</v>
      </c>
      <c r="G26" s="7">
        <v>5</v>
      </c>
      <c r="H26" s="7">
        <v>6</v>
      </c>
      <c r="I26" s="7">
        <v>7</v>
      </c>
      <c r="J26" s="7">
        <v>8</v>
      </c>
      <c r="K26" s="7">
        <v>9</v>
      </c>
      <c r="L26" s="8">
        <v>10</v>
      </c>
      <c r="M26" s="8">
        <v>11</v>
      </c>
      <c r="N26" s="7">
        <v>12</v>
      </c>
      <c r="O26" s="7">
        <v>13</v>
      </c>
      <c r="P26" s="7">
        <v>14</v>
      </c>
      <c r="Q26" s="7">
        <v>15</v>
      </c>
      <c r="R26" s="7">
        <v>16</v>
      </c>
      <c r="S26" s="7">
        <v>17</v>
      </c>
      <c r="T26" s="7">
        <v>18</v>
      </c>
      <c r="U26" s="7">
        <v>19</v>
      </c>
      <c r="V26" s="7">
        <v>20</v>
      </c>
      <c r="W26" s="3"/>
      <c r="X26" s="3"/>
    </row>
    <row r="27" spans="2:24" ht="36" customHeight="1">
      <c r="B27" s="1"/>
      <c r="C27" s="3"/>
      <c r="D27" s="3"/>
      <c r="E27" s="3"/>
      <c r="F27" s="3"/>
      <c r="G27" s="3"/>
      <c r="H27" s="3"/>
      <c r="I27" s="3"/>
      <c r="J27" s="3"/>
      <c r="K27" s="172" t="s">
        <v>21</v>
      </c>
      <c r="L27" s="173"/>
      <c r="M27" s="173"/>
      <c r="N27" s="173"/>
      <c r="O27" s="3"/>
      <c r="P27" s="3"/>
      <c r="Q27" s="3"/>
      <c r="R27" s="3"/>
      <c r="S27" s="3"/>
      <c r="T27" s="3"/>
      <c r="U27" s="3"/>
      <c r="V27" s="3"/>
      <c r="W27" s="3"/>
      <c r="X27" s="3"/>
    </row>
  </sheetData>
  <sheetProtection password="E9C6" sheet="1" objects="1" scenarios="1" selectLockedCells="1" selectUnlockedCells="1"/>
  <mergeCells count="23">
    <mergeCell ref="G16:G19"/>
    <mergeCell ref="H16:H19"/>
    <mergeCell ref="C16:C19"/>
    <mergeCell ref="D16:D19"/>
    <mergeCell ref="E16:E19"/>
    <mergeCell ref="F16:F19"/>
    <mergeCell ref="K27:N27"/>
    <mergeCell ref="T14:T15"/>
    <mergeCell ref="X14:X17"/>
    <mergeCell ref="V14:V15"/>
    <mergeCell ref="U14:U15"/>
    <mergeCell ref="K16:K19"/>
    <mergeCell ref="N14:N15"/>
    <mergeCell ref="A1:X1"/>
    <mergeCell ref="A2:X2"/>
    <mergeCell ref="K4:N4"/>
    <mergeCell ref="P14:P15"/>
    <mergeCell ref="Q14:Q15"/>
    <mergeCell ref="R14:R15"/>
    <mergeCell ref="S14:S15"/>
    <mergeCell ref="A14:A16"/>
    <mergeCell ref="O14:O15"/>
    <mergeCell ref="J16:J19"/>
  </mergeCells>
  <printOptions horizontalCentered="1"/>
  <pageMargins left="0.7874015748031497" right="0.7874015748031497" top="0.3937007874015748" bottom="0.51" header="0.3937007874015748" footer="0.27"/>
  <pageSetup fitToHeight="1" fitToWidth="1" orientation="landscape" paperSize="9" scale="60" r:id="rId3"/>
  <headerFooter alignWithMargins="0">
    <oddFooter>&amp;LFonte: Livro Repensando Banco de Varejo de Ricardo Coelho&amp;Rwww.ricardocoelhoconsult.com.br</oddFooter>
  </headerFooter>
  <legacyDrawing r:id="rId2"/>
  <oleObjects>
    <oleObject progId="CorelDRAW.Graphic.11" shapeId="14067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3"/>
  <sheetViews>
    <sheetView showGridLines="0" showRowColHeaders="0" zoomScale="60" zoomScaleNormal="60" zoomScalePageLayoutView="0" workbookViewId="0" topLeftCell="A1">
      <selection activeCell="M25" sqref="M25"/>
    </sheetView>
  </sheetViews>
  <sheetFormatPr defaultColWidth="9.140625" defaultRowHeight="12.75"/>
  <cols>
    <col min="1" max="1" width="9.140625" style="10" customWidth="1"/>
    <col min="2" max="2" width="19.00390625" style="10" customWidth="1"/>
    <col min="3" max="3" width="19.00390625" style="10" hidden="1" customWidth="1"/>
    <col min="4" max="5" width="9.140625" style="10" customWidth="1"/>
    <col min="6" max="6" width="14.140625" style="10" customWidth="1"/>
    <col min="7" max="7" width="14.140625" style="10" hidden="1" customWidth="1"/>
    <col min="8" max="9" width="9.140625" style="10" customWidth="1"/>
    <col min="10" max="10" width="19.7109375" style="10" customWidth="1"/>
    <col min="11" max="11" width="19.7109375" style="10" hidden="1" customWidth="1"/>
    <col min="12" max="13" width="9.140625" style="10" customWidth="1"/>
    <col min="14" max="14" width="17.8515625" style="10" customWidth="1"/>
    <col min="15" max="15" width="17.8515625" style="10" hidden="1" customWidth="1"/>
    <col min="16" max="17" width="9.140625" style="10" customWidth="1"/>
    <col min="18" max="18" width="3.00390625" style="10" customWidth="1"/>
    <col min="19" max="19" width="19.57421875" style="10" bestFit="1" customWidth="1"/>
    <col min="20" max="20" width="34.140625" style="10" bestFit="1" customWidth="1"/>
    <col min="21" max="21" width="11.140625" style="10" customWidth="1"/>
    <col min="22" max="16384" width="9.140625" style="10" customWidth="1"/>
  </cols>
  <sheetData>
    <row r="1" spans="2:21" ht="26.25">
      <c r="B1" s="251" t="s">
        <v>42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</row>
    <row r="3" ht="36" customHeight="1"/>
    <row r="4" spans="2:21" ht="21" thickBot="1">
      <c r="B4" s="13" t="s">
        <v>34</v>
      </c>
      <c r="C4" s="16" t="s">
        <v>66</v>
      </c>
      <c r="D4" s="14" t="s">
        <v>33</v>
      </c>
      <c r="E4" s="12"/>
      <c r="F4" s="16" t="s">
        <v>35</v>
      </c>
      <c r="G4" s="16" t="s">
        <v>66</v>
      </c>
      <c r="H4" s="14" t="s">
        <v>36</v>
      </c>
      <c r="I4" s="12"/>
      <c r="J4" s="17" t="s">
        <v>37</v>
      </c>
      <c r="K4" s="16" t="s">
        <v>66</v>
      </c>
      <c r="L4" s="14" t="s">
        <v>36</v>
      </c>
      <c r="M4" s="12"/>
      <c r="N4" s="16" t="s">
        <v>43</v>
      </c>
      <c r="O4" s="16" t="s">
        <v>66</v>
      </c>
      <c r="P4" s="14" t="s">
        <v>38</v>
      </c>
      <c r="Q4" s="11"/>
      <c r="S4" s="252" t="s">
        <v>44</v>
      </c>
      <c r="T4" s="253"/>
      <c r="U4" s="253"/>
    </row>
    <row r="5" spans="2:21" ht="30.75" thickBot="1">
      <c r="B5" s="15">
        <v>18</v>
      </c>
      <c r="C5" s="15"/>
      <c r="D5" s="18">
        <v>2</v>
      </c>
      <c r="E5" s="11"/>
      <c r="F5" s="15">
        <v>1</v>
      </c>
      <c r="G5" s="35" t="s">
        <v>6</v>
      </c>
      <c r="H5" s="18">
        <v>2</v>
      </c>
      <c r="I5" s="11"/>
      <c r="J5" s="34" t="s">
        <v>69</v>
      </c>
      <c r="K5" s="26"/>
      <c r="L5" s="18">
        <v>9</v>
      </c>
      <c r="M5" s="11"/>
      <c r="N5" s="34" t="s">
        <v>10</v>
      </c>
      <c r="O5" s="26"/>
      <c r="P5" s="18">
        <v>10</v>
      </c>
      <c r="Q5" s="11"/>
      <c r="S5" s="16" t="s">
        <v>46</v>
      </c>
      <c r="T5" s="16" t="s">
        <v>47</v>
      </c>
      <c r="U5" s="16" t="s">
        <v>36</v>
      </c>
    </row>
    <row r="6" spans="2:21" ht="30">
      <c r="B6" s="15">
        <v>23</v>
      </c>
      <c r="C6" s="15"/>
      <c r="D6" s="18">
        <v>3</v>
      </c>
      <c r="E6" s="11"/>
      <c r="F6" s="15">
        <v>501</v>
      </c>
      <c r="G6" s="15"/>
      <c r="H6" s="18">
        <v>3</v>
      </c>
      <c r="I6" s="11"/>
      <c r="J6" s="26" t="s">
        <v>12</v>
      </c>
      <c r="K6" s="26"/>
      <c r="L6" s="18">
        <v>3</v>
      </c>
      <c r="M6" s="11"/>
      <c r="N6" s="34" t="s">
        <v>8</v>
      </c>
      <c r="O6" s="26"/>
      <c r="P6" s="18">
        <v>7</v>
      </c>
      <c r="Q6" s="11"/>
      <c r="S6" s="19" t="s">
        <v>39</v>
      </c>
      <c r="T6" s="20">
        <f>'SIMULADOR PROPENSÃO DE CONSUMO'!C4</f>
        <v>35</v>
      </c>
      <c r="U6" s="18">
        <f>VLOOKUP('SIMULADOR PROPENSÃO DE CONSUMO'!C4,$B$5:$D$22,3,1)</f>
        <v>6</v>
      </c>
    </row>
    <row r="7" spans="2:21" ht="30">
      <c r="B7" s="15">
        <v>27</v>
      </c>
      <c r="C7" s="15"/>
      <c r="D7" s="18">
        <v>4</v>
      </c>
      <c r="E7" s="11"/>
      <c r="F7" s="15">
        <v>1001</v>
      </c>
      <c r="G7" s="15"/>
      <c r="H7" s="18">
        <v>4</v>
      </c>
      <c r="I7" s="11"/>
      <c r="J7" s="26" t="s">
        <v>11</v>
      </c>
      <c r="K7" s="26"/>
      <c r="L7" s="18">
        <v>2</v>
      </c>
      <c r="M7" s="11"/>
      <c r="N7" s="34" t="s">
        <v>9</v>
      </c>
      <c r="O7" s="26"/>
      <c r="P7" s="18">
        <v>9</v>
      </c>
      <c r="Q7" s="11"/>
      <c r="S7" s="21" t="s">
        <v>35</v>
      </c>
      <c r="T7" s="25">
        <f>'SIMULADOR PROPENSÃO DE CONSUMO'!C5</f>
        <v>3450</v>
      </c>
      <c r="U7" s="18">
        <f>VLOOKUP('SIMULADOR PROPENSÃO DE CONSUMO'!C5,$F$5:$H$13,3,1)</f>
        <v>7</v>
      </c>
    </row>
    <row r="8" spans="2:21" ht="30">
      <c r="B8" s="15">
        <v>30</v>
      </c>
      <c r="C8" s="15"/>
      <c r="D8" s="18">
        <v>5</v>
      </c>
      <c r="E8" s="11"/>
      <c r="F8" s="15">
        <v>1501</v>
      </c>
      <c r="G8" s="15"/>
      <c r="H8" s="18">
        <v>5</v>
      </c>
      <c r="I8" s="11"/>
      <c r="J8" s="34" t="s">
        <v>68</v>
      </c>
      <c r="K8" s="26"/>
      <c r="L8" s="18">
        <v>10</v>
      </c>
      <c r="M8" s="11"/>
      <c r="N8" s="34" t="s">
        <v>67</v>
      </c>
      <c r="O8" s="26"/>
      <c r="P8" s="18">
        <v>5</v>
      </c>
      <c r="Q8" s="11"/>
      <c r="S8" s="21" t="s">
        <v>37</v>
      </c>
      <c r="T8" s="22" t="str">
        <f>'SIMULADOR PROPENSÃO DE CONSUMO'!C6</f>
        <v>2º GRAU COMPLETO</v>
      </c>
      <c r="U8" s="18">
        <f>VLOOKUP('SIMULADOR PROPENSÃO DE CONSUMO'!C6,$J$5:$L$12,3,1)</f>
        <v>5</v>
      </c>
    </row>
    <row r="9" spans="2:21" ht="30.75" thickBot="1">
      <c r="B9" s="15">
        <v>33</v>
      </c>
      <c r="C9" s="15"/>
      <c r="D9" s="18">
        <v>6</v>
      </c>
      <c r="E9" s="11"/>
      <c r="F9" s="15">
        <v>2001</v>
      </c>
      <c r="G9" s="15"/>
      <c r="H9" s="18">
        <v>6</v>
      </c>
      <c r="I9" s="11"/>
      <c r="J9" s="26" t="s">
        <v>3</v>
      </c>
      <c r="K9" s="26"/>
      <c r="L9" s="18">
        <v>5</v>
      </c>
      <c r="M9" s="11"/>
      <c r="N9" s="34" t="s">
        <v>30</v>
      </c>
      <c r="O9" s="26"/>
      <c r="P9" s="18">
        <v>6</v>
      </c>
      <c r="Q9" s="11"/>
      <c r="S9" s="23" t="s">
        <v>40</v>
      </c>
      <c r="T9" s="24" t="str">
        <f>'SIMULADOR PROPENSÃO DE CONSUMO'!C7</f>
        <v>OUTROS C/ 1 FILHO</v>
      </c>
      <c r="U9" s="18">
        <f>VLOOKUP('SIMULADOR PROPENSÃO DE CONSUMO'!C7,N5:P12,3,1)</f>
        <v>6</v>
      </c>
    </row>
    <row r="10" spans="2:17" ht="30">
      <c r="B10" s="15">
        <v>36</v>
      </c>
      <c r="C10" s="15"/>
      <c r="D10" s="18">
        <v>7</v>
      </c>
      <c r="E10" s="11"/>
      <c r="F10" s="15">
        <v>3001</v>
      </c>
      <c r="G10" s="15"/>
      <c r="H10" s="18">
        <v>7</v>
      </c>
      <c r="I10" s="11"/>
      <c r="J10" s="26" t="s">
        <v>2</v>
      </c>
      <c r="K10" s="26"/>
      <c r="L10" s="18">
        <v>4</v>
      </c>
      <c r="M10" s="11"/>
      <c r="N10" s="34" t="s">
        <v>29</v>
      </c>
      <c r="O10" s="26"/>
      <c r="P10" s="18">
        <v>8</v>
      </c>
      <c r="Q10" s="11"/>
    </row>
    <row r="11" spans="2:21" ht="30.75" thickBot="1">
      <c r="B11" s="15">
        <v>39</v>
      </c>
      <c r="C11" s="15"/>
      <c r="D11" s="18">
        <v>8</v>
      </c>
      <c r="E11" s="11"/>
      <c r="F11" s="15">
        <v>4001</v>
      </c>
      <c r="G11" s="15"/>
      <c r="H11" s="18">
        <v>8</v>
      </c>
      <c r="I11" s="11"/>
      <c r="J11" s="26" t="s">
        <v>5</v>
      </c>
      <c r="K11" s="26"/>
      <c r="L11" s="18">
        <v>8</v>
      </c>
      <c r="M11" s="11"/>
      <c r="N11" s="34" t="s">
        <v>1</v>
      </c>
      <c r="O11" s="26"/>
      <c r="P11" s="18">
        <v>3</v>
      </c>
      <c r="Q11" s="11"/>
      <c r="S11" s="252" t="s">
        <v>45</v>
      </c>
      <c r="T11" s="253"/>
      <c r="U11" s="253"/>
    </row>
    <row r="12" spans="2:21" ht="30.75" thickBot="1">
      <c r="B12" s="15">
        <v>42</v>
      </c>
      <c r="C12" s="15"/>
      <c r="D12" s="18">
        <v>9</v>
      </c>
      <c r="E12" s="11"/>
      <c r="F12" s="15">
        <v>6001</v>
      </c>
      <c r="G12" s="15"/>
      <c r="H12" s="18">
        <v>9</v>
      </c>
      <c r="I12" s="11"/>
      <c r="J12" s="26" t="s">
        <v>4</v>
      </c>
      <c r="K12" s="26"/>
      <c r="L12" s="18">
        <v>7</v>
      </c>
      <c r="M12" s="11"/>
      <c r="N12" s="34" t="s">
        <v>0</v>
      </c>
      <c r="O12" s="26"/>
      <c r="P12" s="18">
        <v>2</v>
      </c>
      <c r="Q12" s="11"/>
      <c r="S12" s="249" t="s">
        <v>51</v>
      </c>
      <c r="T12" s="250"/>
      <c r="U12" s="14">
        <f>U6*U9</f>
        <v>36</v>
      </c>
    </row>
    <row r="13" spans="2:21" ht="18.75" thickBot="1">
      <c r="B13" s="15">
        <v>45</v>
      </c>
      <c r="C13" s="15"/>
      <c r="D13" s="18">
        <v>10</v>
      </c>
      <c r="E13" s="11"/>
      <c r="F13" s="15">
        <v>9001</v>
      </c>
      <c r="G13" s="15"/>
      <c r="H13" s="18">
        <v>10</v>
      </c>
      <c r="I13" s="11"/>
      <c r="J13" s="11"/>
      <c r="K13" s="11"/>
      <c r="L13" s="11"/>
      <c r="M13" s="11"/>
      <c r="N13" s="11"/>
      <c r="O13" s="11"/>
      <c r="P13" s="11"/>
      <c r="Q13" s="11"/>
      <c r="S13" s="249" t="s">
        <v>50</v>
      </c>
      <c r="T13" s="250"/>
      <c r="U13" s="14">
        <f>U6*U7</f>
        <v>42</v>
      </c>
    </row>
    <row r="14" spans="2:21" ht="18.75" thickBot="1">
      <c r="B14" s="15">
        <v>50</v>
      </c>
      <c r="C14" s="15"/>
      <c r="D14" s="18">
        <v>10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S14" s="249" t="s">
        <v>52</v>
      </c>
      <c r="T14" s="250"/>
      <c r="U14" s="14">
        <f>U7*U8</f>
        <v>35</v>
      </c>
    </row>
    <row r="15" spans="2:21" ht="18">
      <c r="B15" s="15">
        <v>53</v>
      </c>
      <c r="C15" s="15"/>
      <c r="D15" s="18">
        <v>9</v>
      </c>
      <c r="E15" s="11"/>
      <c r="F15" s="11"/>
      <c r="G15" s="11"/>
      <c r="H15" s="11"/>
      <c r="I15" s="11"/>
      <c r="J15"/>
      <c r="S15" s="249" t="s">
        <v>53</v>
      </c>
      <c r="T15" s="250"/>
      <c r="U15" s="14">
        <f>U8*U9</f>
        <v>30</v>
      </c>
    </row>
    <row r="16" spans="2:21" ht="15.75">
      <c r="B16" s="15">
        <v>56</v>
      </c>
      <c r="C16" s="15"/>
      <c r="D16" s="18">
        <v>8</v>
      </c>
      <c r="E16" s="11"/>
      <c r="F16" s="11"/>
      <c r="G16" s="11"/>
      <c r="H16" s="11"/>
      <c r="I16" s="11"/>
      <c r="J16"/>
      <c r="U16" s="28">
        <f>SUM(U12:U15)</f>
        <v>143</v>
      </c>
    </row>
    <row r="17" spans="2:10" ht="15.75">
      <c r="B17" s="15">
        <v>60</v>
      </c>
      <c r="C17" s="15"/>
      <c r="D17" s="18">
        <v>7</v>
      </c>
      <c r="E17" s="11"/>
      <c r="F17" s="11"/>
      <c r="G17" s="11"/>
      <c r="H17" s="11"/>
      <c r="I17" s="11"/>
      <c r="J17"/>
    </row>
    <row r="18" spans="2:10" ht="15.75">
      <c r="B18" s="15">
        <v>65</v>
      </c>
      <c r="C18" s="15"/>
      <c r="D18" s="18">
        <v>6</v>
      </c>
      <c r="E18" s="11"/>
      <c r="F18" s="11"/>
      <c r="G18" s="11"/>
      <c r="H18" s="11"/>
      <c r="I18" s="11"/>
      <c r="J18"/>
    </row>
    <row r="19" spans="2:10" ht="15.75">
      <c r="B19" s="15">
        <v>70</v>
      </c>
      <c r="C19" s="15"/>
      <c r="D19" s="18">
        <v>5</v>
      </c>
      <c r="E19" s="11"/>
      <c r="F19" s="11"/>
      <c r="G19" s="11"/>
      <c r="H19" s="11"/>
      <c r="I19" s="11"/>
      <c r="J19"/>
    </row>
    <row r="20" spans="2:17" ht="15.75">
      <c r="B20" s="15">
        <v>75</v>
      </c>
      <c r="C20" s="15"/>
      <c r="D20" s="18">
        <v>4</v>
      </c>
      <c r="E20" s="11"/>
      <c r="F20" s="11"/>
      <c r="G20" s="11"/>
      <c r="H20" s="11"/>
      <c r="I20" s="11"/>
      <c r="J20"/>
      <c r="K20" s="11"/>
      <c r="L20" s="11"/>
      <c r="M20" s="11"/>
      <c r="N20" s="11"/>
      <c r="O20" s="11"/>
      <c r="P20" s="11"/>
      <c r="Q20" s="11"/>
    </row>
    <row r="21" spans="2:17" ht="15.75">
      <c r="B21" s="15">
        <v>80</v>
      </c>
      <c r="C21" s="15"/>
      <c r="D21" s="18">
        <v>3</v>
      </c>
      <c r="E21" s="11"/>
      <c r="F21" s="11"/>
      <c r="G21" s="11"/>
      <c r="H21" s="11"/>
      <c r="I21" s="11"/>
      <c r="J21"/>
      <c r="K21" s="11"/>
      <c r="L21" s="11"/>
      <c r="M21" s="11"/>
      <c r="N21" s="11"/>
      <c r="O21" s="11"/>
      <c r="P21" s="11"/>
      <c r="Q21" s="11"/>
    </row>
    <row r="22" spans="2:17" ht="15.75">
      <c r="B22" s="15">
        <v>90</v>
      </c>
      <c r="C22" s="15"/>
      <c r="D22" s="18">
        <v>2</v>
      </c>
      <c r="E22" s="11"/>
      <c r="F22" s="11"/>
      <c r="G22" s="11"/>
      <c r="H22" s="11"/>
      <c r="I22" s="11"/>
      <c r="J22"/>
      <c r="K22" s="11"/>
      <c r="L22" s="11"/>
      <c r="M22" s="11"/>
      <c r="N22" s="11"/>
      <c r="O22" s="11"/>
      <c r="P22" s="11"/>
      <c r="Q22" s="11"/>
    </row>
    <row r="23" ht="12.75">
      <c r="J23"/>
    </row>
  </sheetData>
  <sheetProtection password="E9C6" sheet="1" objects="1" scenarios="1" selectLockedCells="1" selectUnlockedCells="1"/>
  <mergeCells count="7">
    <mergeCell ref="S13:T13"/>
    <mergeCell ref="S14:T14"/>
    <mergeCell ref="S15:T15"/>
    <mergeCell ref="B1:U1"/>
    <mergeCell ref="S4:U4"/>
    <mergeCell ref="S11:U11"/>
    <mergeCell ref="S12:T12"/>
  </mergeCells>
  <printOptions/>
  <pageMargins left="0.787401575" right="0.787401575" top="0.984251969" bottom="0.984251969" header="0.492125985" footer="0.492125985"/>
  <pageSetup fitToHeight="1" fitToWidth="1" orientation="landscape" paperSize="9" scale="61" r:id="rId3"/>
  <headerFooter alignWithMargins="0">
    <oddFooter>&amp;LFonte: Livro Repensando Banco de Varejo de Ricardo Coelho&amp;Rwww.ricardocoelhoconsult.com.br
</oddFooter>
  </headerFooter>
  <legacyDrawing r:id="rId2"/>
  <oleObjects>
    <oleObject progId="CorelDRAW.Graphic.11" shapeId="13865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HSBC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Coelho</dc:creator>
  <cp:keywords/>
  <dc:description/>
  <cp:lastModifiedBy>Usuário do Windows</cp:lastModifiedBy>
  <cp:lastPrinted>2009-12-07T12:40:08Z</cp:lastPrinted>
  <dcterms:created xsi:type="dcterms:W3CDTF">2001-09-19T14:44:03Z</dcterms:created>
  <dcterms:modified xsi:type="dcterms:W3CDTF">2022-08-19T19:59:26Z</dcterms:modified>
  <cp:category/>
  <cp:version/>
  <cp:contentType/>
  <cp:contentStatus/>
</cp:coreProperties>
</file>